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 codeName="{AE6600E7-7A62-396C-DE95-9942FA9DD81E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4. CIVIL SERVANT\7. LATSAR 2022\4. Aktualisasi dan Klasikal\Aktualisasi\App\Final Product\"/>
    </mc:Choice>
  </mc:AlternateContent>
  <xr:revisionPtr revIDLastSave="0" documentId="13_ncr:1_{916E1112-9AE1-41FE-90B4-3AD95D15BFE2}" xr6:coauthVersionLast="47" xr6:coauthVersionMax="47" xr10:uidLastSave="{00000000-0000-0000-0000-000000000000}"/>
  <bookViews>
    <workbookView xWindow="-108" yWindow="-108" windowWidth="23256" windowHeight="12576" xr2:uid="{B19BE005-C8EF-4B96-8DE2-25C7E82EF566}"/>
  </bookViews>
  <sheets>
    <sheet name="HOME" sheetId="13" r:id="rId1"/>
    <sheet name="UI Tenaga Listrik" sheetId="11" state="veryHidden" r:id="rId2"/>
    <sheet name="UI Bahan Bakar" sheetId="6" state="veryHidden" r:id="rId3"/>
    <sheet name="UI Biomassa" sheetId="12" state="veryHidden" r:id="rId4"/>
    <sheet name="Status Emisi" sheetId="16" state="veryHidden" r:id="rId5"/>
    <sheet name="Referensi" sheetId="17" state="veryHidden" r:id="rId6"/>
    <sheet name="SIH" sheetId="14" state="veryHidden" r:id="rId7"/>
    <sheet name="FE BB Stasioner" sheetId="1" state="veryHidden" r:id="rId8"/>
    <sheet name="FE BB Gerak" sheetId="4" state="veryHidden" r:id="rId9"/>
    <sheet name="FE Listrik" sheetId="5" state="veryHidden" r:id="rId10"/>
    <sheet name="Nilai Kalor_NCV" sheetId="2" state="hidden" r:id="rId11"/>
    <sheet name="Density" sheetId="9" state="veryHidden" r:id="rId12"/>
    <sheet name="Nilai Kalor_NCV kg" sheetId="8" state="veryHidden" r:id="rId13"/>
    <sheet name="List Kota" sheetId="7" state="veryHidden" r:id="rId14"/>
    <sheet name="List BBM" sheetId="10" state="veryHidden" r:id="rId15"/>
  </sheets>
  <definedNames>
    <definedName name="_xlnm._FilterDatabase" localSheetId="9" hidden="1">'FE Listrik'!$A$1:$I$111</definedName>
    <definedName name="GridList">OFFSET('List Kota'!$I$2,0,0,COUNTIF('List Kota'!$I:$I,"?*"),1)</definedName>
    <definedName name="JenisIndustri">OFFSET(SIH!$L$2,0,0,COUNTIF(SIH!$L:$L,"?*"),1)</definedName>
    <definedName name="ListBBMBergerak">OFFSET('List BBM'!$E$2,0,0,COUNTIF('List BBM'!$E:$E,"?*"),1)</definedName>
    <definedName name="ListBBMStasioner">OFFSET('List BBM'!$N$2,0,0,COUNTIF('List BBM'!$N:$N,"?*"),1)</definedName>
    <definedName name="ListKotaNew">OFFSET('List Kota'!$I$2,0,0,COUNTIF('List Kota'!$I:$I,"?*"),1)</definedName>
    <definedName name="_xlnm.Print_Area" localSheetId="0">HOME!$C$59:$D$60</definedName>
    <definedName name="_xlnm.Print_Area" localSheetId="2">'UI Bahan Bakar'!$C$122:$C$127</definedName>
    <definedName name="_xlnm.Print_Area" localSheetId="1">'UI Tenaga Listrik'!$B$57:$C$60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3" i="16" l="1"/>
  <c r="E11" i="16"/>
  <c r="C25" i="16" s="1"/>
  <c r="G7" i="16"/>
  <c r="G25" i="16" s="1"/>
  <c r="C7" i="16"/>
  <c r="I2" i="14"/>
  <c r="I3" i="14" s="1"/>
  <c r="I4" i="14" s="1"/>
  <c r="E9" i="11"/>
  <c r="B7" i="8"/>
  <c r="E31" i="6"/>
  <c r="E35" i="6" s="1"/>
  <c r="E25" i="6"/>
  <c r="E23" i="12"/>
  <c r="E25" i="12" s="1"/>
  <c r="E15" i="12"/>
  <c r="E17" i="12"/>
  <c r="E31" i="12" s="1"/>
  <c r="E13" i="12"/>
  <c r="E11" i="12"/>
  <c r="E23" i="6"/>
  <c r="E21" i="6"/>
  <c r="E19" i="6"/>
  <c r="E17" i="6"/>
  <c r="E15" i="6"/>
  <c r="E13" i="6"/>
  <c r="F2" i="7"/>
  <c r="F3" i="7" s="1"/>
  <c r="F4" i="7" s="1"/>
  <c r="K2" i="10"/>
  <c r="B2" i="10"/>
  <c r="B3" i="10" s="1"/>
  <c r="B4" i="10" s="1"/>
  <c r="B8" i="8"/>
  <c r="B6" i="8"/>
  <c r="B11" i="9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0" i="8"/>
  <c r="B9" i="8"/>
  <c r="B5" i="8"/>
  <c r="B4" i="8"/>
  <c r="B3" i="8"/>
  <c r="B2" i="8"/>
  <c r="I9" i="5"/>
  <c r="I14" i="5"/>
  <c r="I10" i="5"/>
  <c r="I31" i="5"/>
  <c r="I45" i="5"/>
  <c r="I16" i="5"/>
  <c r="I25" i="5"/>
  <c r="I26" i="5"/>
  <c r="I29" i="5"/>
  <c r="I32" i="5"/>
  <c r="I33" i="5"/>
  <c r="I34" i="5"/>
  <c r="I35" i="5"/>
  <c r="I40" i="5"/>
  <c r="I11" i="5"/>
  <c r="I59" i="5"/>
  <c r="I98" i="5"/>
  <c r="I12" i="5"/>
  <c r="I54" i="5"/>
  <c r="I95" i="5"/>
  <c r="I51" i="5"/>
  <c r="I8" i="5"/>
  <c r="I20" i="5"/>
  <c r="I27" i="5"/>
  <c r="I39" i="5"/>
  <c r="I41" i="5"/>
  <c r="I42" i="5"/>
  <c r="I43" i="5"/>
  <c r="I49" i="5"/>
  <c r="I64" i="5"/>
  <c r="I66" i="5"/>
  <c r="I71" i="5"/>
  <c r="I77" i="5"/>
  <c r="I94" i="5"/>
  <c r="I99" i="5"/>
  <c r="I107" i="5"/>
  <c r="I108" i="5"/>
  <c r="I21" i="5"/>
  <c r="I24" i="5"/>
  <c r="I30" i="5"/>
  <c r="I101" i="5"/>
  <c r="I104" i="5"/>
  <c r="I18" i="5"/>
  <c r="I56" i="5"/>
  <c r="I90" i="5"/>
  <c r="I6" i="5"/>
  <c r="I7" i="5"/>
  <c r="I28" i="5"/>
  <c r="I62" i="5"/>
  <c r="I103" i="5"/>
  <c r="I109" i="5"/>
  <c r="I17" i="5"/>
  <c r="I36" i="5"/>
  <c r="I63" i="5"/>
  <c r="I65" i="5"/>
  <c r="I79" i="5"/>
  <c r="I102" i="5"/>
  <c r="I61" i="5"/>
  <c r="I83" i="5"/>
  <c r="I15" i="5"/>
  <c r="I22" i="5"/>
  <c r="I46" i="5"/>
  <c r="I53" i="5"/>
  <c r="I72" i="5"/>
  <c r="I78" i="5"/>
  <c r="I76" i="5"/>
  <c r="I97" i="5"/>
  <c r="I100" i="5"/>
  <c r="I84" i="5"/>
  <c r="I73" i="5"/>
  <c r="I85" i="5"/>
  <c r="I19" i="5"/>
  <c r="I47" i="5"/>
  <c r="I52" i="5"/>
  <c r="I57" i="5"/>
  <c r="I58" i="5"/>
  <c r="I70" i="5"/>
  <c r="I105" i="5"/>
  <c r="I106" i="5"/>
  <c r="I110" i="5"/>
  <c r="I13" i="5"/>
  <c r="I38" i="5"/>
  <c r="I44" i="5"/>
  <c r="I50" i="5"/>
  <c r="I74" i="5"/>
  <c r="I111" i="5"/>
  <c r="I86" i="5"/>
  <c r="I69" i="5"/>
  <c r="I80" i="5"/>
  <c r="I81" i="5"/>
  <c r="I82" i="5"/>
  <c r="I87" i="5"/>
  <c r="I88" i="5"/>
  <c r="I68" i="5"/>
  <c r="I89" i="5"/>
  <c r="I4" i="5"/>
  <c r="H9" i="5"/>
  <c r="H14" i="5"/>
  <c r="H67" i="5"/>
  <c r="H10" i="5"/>
  <c r="H31" i="5"/>
  <c r="H45" i="5"/>
  <c r="H16" i="5"/>
  <c r="H25" i="5"/>
  <c r="H26" i="5"/>
  <c r="H29" i="5"/>
  <c r="H32" i="5"/>
  <c r="H33" i="5"/>
  <c r="H34" i="5"/>
  <c r="H35" i="5"/>
  <c r="H40" i="5"/>
  <c r="H11" i="5"/>
  <c r="H59" i="5"/>
  <c r="H98" i="5"/>
  <c r="H12" i="5"/>
  <c r="H23" i="5"/>
  <c r="H48" i="5"/>
  <c r="H54" i="5"/>
  <c r="H75" i="5"/>
  <c r="H93" i="5"/>
  <c r="H95" i="5"/>
  <c r="H96" i="5"/>
  <c r="H51" i="5"/>
  <c r="H8" i="5"/>
  <c r="H20" i="5"/>
  <c r="H27" i="5"/>
  <c r="H39" i="5"/>
  <c r="H41" i="5"/>
  <c r="H42" i="5"/>
  <c r="H43" i="5"/>
  <c r="H49" i="5"/>
  <c r="H64" i="5"/>
  <c r="H66" i="5"/>
  <c r="H71" i="5"/>
  <c r="H77" i="5"/>
  <c r="H94" i="5"/>
  <c r="H99" i="5"/>
  <c r="H107" i="5"/>
  <c r="H108" i="5"/>
  <c r="H21" i="5"/>
  <c r="H24" i="5"/>
  <c r="H30" i="5"/>
  <c r="H101" i="5"/>
  <c r="H104" i="5"/>
  <c r="H18" i="5"/>
  <c r="H56" i="5"/>
  <c r="H90" i="5"/>
  <c r="H6" i="5"/>
  <c r="H7" i="5"/>
  <c r="H28" i="5"/>
  <c r="H62" i="5"/>
  <c r="H103" i="5"/>
  <c r="H109" i="5"/>
  <c r="H17" i="5"/>
  <c r="H36" i="5"/>
  <c r="H63" i="5"/>
  <c r="H65" i="5"/>
  <c r="H79" i="5"/>
  <c r="H102" i="5"/>
  <c r="H61" i="5"/>
  <c r="H83" i="5"/>
  <c r="H15" i="5"/>
  <c r="H22" i="5"/>
  <c r="H46" i="5"/>
  <c r="H53" i="5"/>
  <c r="H72" i="5"/>
  <c r="H78" i="5"/>
  <c r="H76" i="5"/>
  <c r="H97" i="5"/>
  <c r="H100" i="5"/>
  <c r="H84" i="5"/>
  <c r="H73" i="5"/>
  <c r="H85" i="5"/>
  <c r="H19" i="5"/>
  <c r="H47" i="5"/>
  <c r="H52" i="5"/>
  <c r="H57" i="5"/>
  <c r="H58" i="5"/>
  <c r="H70" i="5"/>
  <c r="H105" i="5"/>
  <c r="H106" i="5"/>
  <c r="H110" i="5"/>
  <c r="H13" i="5"/>
  <c r="H38" i="5"/>
  <c r="H44" i="5"/>
  <c r="H50" i="5"/>
  <c r="H74" i="5"/>
  <c r="H111" i="5"/>
  <c r="H37" i="5"/>
  <c r="H55" i="5"/>
  <c r="H60" i="5"/>
  <c r="H86" i="5"/>
  <c r="H91" i="5"/>
  <c r="H92" i="5"/>
  <c r="H69" i="5"/>
  <c r="H80" i="5"/>
  <c r="H81" i="5"/>
  <c r="H82" i="5"/>
  <c r="H87" i="5"/>
  <c r="H88" i="5"/>
  <c r="H68" i="5"/>
  <c r="H89" i="5"/>
  <c r="H4" i="5"/>
  <c r="G5" i="5"/>
  <c r="G9" i="5"/>
  <c r="G14" i="5"/>
  <c r="G67" i="5"/>
  <c r="G10" i="5"/>
  <c r="G31" i="5"/>
  <c r="G45" i="5"/>
  <c r="G16" i="5"/>
  <c r="G25" i="5"/>
  <c r="G26" i="5"/>
  <c r="G29" i="5"/>
  <c r="G32" i="5"/>
  <c r="G33" i="5"/>
  <c r="G34" i="5"/>
  <c r="G35" i="5"/>
  <c r="G40" i="5"/>
  <c r="G11" i="5"/>
  <c r="G59" i="5"/>
  <c r="G98" i="5"/>
  <c r="G12" i="5"/>
  <c r="G23" i="5"/>
  <c r="G48" i="5"/>
  <c r="G54" i="5"/>
  <c r="G75" i="5"/>
  <c r="G93" i="5"/>
  <c r="G95" i="5"/>
  <c r="G96" i="5"/>
  <c r="G51" i="5"/>
  <c r="G8" i="5"/>
  <c r="G20" i="5"/>
  <c r="G27" i="5"/>
  <c r="G39" i="5"/>
  <c r="G41" i="5"/>
  <c r="G42" i="5"/>
  <c r="G43" i="5"/>
  <c r="G49" i="5"/>
  <c r="G64" i="5"/>
  <c r="G66" i="5"/>
  <c r="G71" i="5"/>
  <c r="G77" i="5"/>
  <c r="G94" i="5"/>
  <c r="G99" i="5"/>
  <c r="G107" i="5"/>
  <c r="G108" i="5"/>
  <c r="G21" i="5"/>
  <c r="G24" i="5"/>
  <c r="G30" i="5"/>
  <c r="G101" i="5"/>
  <c r="G104" i="5"/>
  <c r="G18" i="5"/>
  <c r="G56" i="5"/>
  <c r="G90" i="5"/>
  <c r="G6" i="5"/>
  <c r="G7" i="5"/>
  <c r="G28" i="5"/>
  <c r="G62" i="5"/>
  <c r="G103" i="5"/>
  <c r="G109" i="5"/>
  <c r="G17" i="5"/>
  <c r="G36" i="5"/>
  <c r="G63" i="5"/>
  <c r="G65" i="5"/>
  <c r="G79" i="5"/>
  <c r="G102" i="5"/>
  <c r="G61" i="5"/>
  <c r="G83" i="5"/>
  <c r="G15" i="5"/>
  <c r="G22" i="5"/>
  <c r="G46" i="5"/>
  <c r="G53" i="5"/>
  <c r="G72" i="5"/>
  <c r="G78" i="5"/>
  <c r="G76" i="5"/>
  <c r="G97" i="5"/>
  <c r="G100" i="5"/>
  <c r="G84" i="5"/>
  <c r="G73" i="5"/>
  <c r="G85" i="5"/>
  <c r="G19" i="5"/>
  <c r="G47" i="5"/>
  <c r="G52" i="5"/>
  <c r="G57" i="5"/>
  <c r="G58" i="5"/>
  <c r="G70" i="5"/>
  <c r="G105" i="5"/>
  <c r="G106" i="5"/>
  <c r="G110" i="5"/>
  <c r="G13" i="5"/>
  <c r="G38" i="5"/>
  <c r="G44" i="5"/>
  <c r="G50" i="5"/>
  <c r="G74" i="5"/>
  <c r="G111" i="5"/>
  <c r="G37" i="5"/>
  <c r="G55" i="5"/>
  <c r="G60" i="5"/>
  <c r="G86" i="5"/>
  <c r="G91" i="5"/>
  <c r="G92" i="5"/>
  <c r="G69" i="5"/>
  <c r="G80" i="5"/>
  <c r="G81" i="5"/>
  <c r="G82" i="5"/>
  <c r="G87" i="5"/>
  <c r="G88" i="5"/>
  <c r="G68" i="5"/>
  <c r="G89" i="5"/>
  <c r="G4" i="5"/>
  <c r="G21" i="16" l="1"/>
  <c r="G11" i="16"/>
  <c r="I5" i="14"/>
  <c r="I6" i="14" s="1"/>
  <c r="E29" i="12"/>
  <c r="E37" i="6"/>
  <c r="F5" i="7"/>
  <c r="K3" i="10"/>
  <c r="B5" i="10"/>
  <c r="I7" i="14" l="1"/>
  <c r="I8" i="14" s="1"/>
  <c r="F6" i="7"/>
  <c r="K4" i="10"/>
  <c r="K5" i="10" s="1"/>
  <c r="B6" i="10"/>
  <c r="I9" i="14" l="1"/>
  <c r="I10" i="14" s="1"/>
  <c r="F7" i="7"/>
  <c r="K6" i="10"/>
  <c r="K7" i="10" s="1"/>
  <c r="B7" i="10"/>
  <c r="B8" i="10" s="1"/>
  <c r="I11" i="14" l="1"/>
  <c r="F8" i="7"/>
  <c r="K8" i="10"/>
  <c r="K9" i="10" s="1"/>
  <c r="B9" i="10"/>
  <c r="B10" i="10" s="1"/>
  <c r="I12" i="14" l="1"/>
  <c r="I13" i="14" s="1"/>
  <c r="F9" i="7"/>
  <c r="K10" i="10"/>
  <c r="B11" i="10"/>
  <c r="B12" i="10" s="1"/>
  <c r="F10" i="7" l="1"/>
  <c r="F11" i="7" s="1"/>
  <c r="I14" i="14"/>
  <c r="I15" i="14" s="1"/>
  <c r="I16" i="14" s="1"/>
  <c r="I17" i="14" s="1"/>
  <c r="I18" i="14" s="1"/>
  <c r="I19" i="14" s="1"/>
  <c r="I20" i="14" s="1"/>
  <c r="I21" i="14" s="1"/>
  <c r="I22" i="14" s="1"/>
  <c r="I23" i="14" s="1"/>
  <c r="I24" i="14" s="1"/>
  <c r="I25" i="14" s="1"/>
  <c r="I26" i="14" s="1"/>
  <c r="I27" i="14" s="1"/>
  <c r="I28" i="14" s="1"/>
  <c r="I29" i="14" s="1"/>
  <c r="I30" i="14" s="1"/>
  <c r="I31" i="14" s="1"/>
  <c r="I32" i="14" s="1"/>
  <c r="I33" i="14" s="1"/>
  <c r="I34" i="14" s="1"/>
  <c r="I35" i="14" s="1"/>
  <c r="I36" i="14" s="1"/>
  <c r="I37" i="14" s="1"/>
  <c r="I38" i="14" s="1"/>
  <c r="I39" i="14" s="1"/>
  <c r="I40" i="14" s="1"/>
  <c r="I41" i="14" s="1"/>
  <c r="I42" i="14" s="1"/>
  <c r="I43" i="14" s="1"/>
  <c r="I44" i="14" s="1"/>
  <c r="I45" i="14" s="1"/>
  <c r="I46" i="14" s="1"/>
  <c r="I47" i="14" s="1"/>
  <c r="I48" i="14" s="1"/>
  <c r="I49" i="14" s="1"/>
  <c r="I50" i="14" s="1"/>
  <c r="K11" i="10"/>
  <c r="B13" i="10"/>
  <c r="L33" i="14" l="1"/>
  <c r="L14" i="14"/>
  <c r="L4" i="14"/>
  <c r="L11" i="14"/>
  <c r="L9" i="14"/>
  <c r="L8" i="14"/>
  <c r="L21" i="14"/>
  <c r="L40" i="14"/>
  <c r="L50" i="14"/>
  <c r="L22" i="14"/>
  <c r="L27" i="14"/>
  <c r="L16" i="14"/>
  <c r="L17" i="14"/>
  <c r="L43" i="14"/>
  <c r="L34" i="14"/>
  <c r="L37" i="14"/>
  <c r="L20" i="14"/>
  <c r="L12" i="14"/>
  <c r="L32" i="14"/>
  <c r="L46" i="14"/>
  <c r="L29" i="14"/>
  <c r="L18" i="14"/>
  <c r="L39" i="14"/>
  <c r="L31" i="14"/>
  <c r="L49" i="14"/>
  <c r="L35" i="14"/>
  <c r="L19" i="14"/>
  <c r="L44" i="14"/>
  <c r="L36" i="14"/>
  <c r="L24" i="14"/>
  <c r="L28" i="14"/>
  <c r="L25" i="14"/>
  <c r="L23" i="14"/>
  <c r="L5" i="14"/>
  <c r="L2" i="14"/>
  <c r="L6" i="14"/>
  <c r="L41" i="14"/>
  <c r="L15" i="14"/>
  <c r="L48" i="14"/>
  <c r="L45" i="14"/>
  <c r="L3" i="14"/>
  <c r="L10" i="14"/>
  <c r="L30" i="14"/>
  <c r="L7" i="14"/>
  <c r="L26" i="14"/>
  <c r="L38" i="14"/>
  <c r="L47" i="14"/>
  <c r="L42" i="14"/>
  <c r="L13" i="14"/>
  <c r="F12" i="7"/>
  <c r="B14" i="10"/>
  <c r="B15" i="10" s="1"/>
  <c r="B16" i="10" s="1"/>
  <c r="B17" i="10" s="1"/>
  <c r="B18" i="10" s="1"/>
  <c r="B19" i="10" s="1"/>
  <c r="E4" i="10" s="1"/>
  <c r="K12" i="10"/>
  <c r="K2" i="14" l="1"/>
  <c r="K1" i="14"/>
  <c r="E2" i="10"/>
  <c r="E5" i="10"/>
  <c r="E13" i="10"/>
  <c r="E7" i="10"/>
  <c r="E8" i="10"/>
  <c r="E11" i="10"/>
  <c r="E12" i="10"/>
  <c r="E10" i="10"/>
  <c r="E3" i="10"/>
  <c r="E9" i="10"/>
  <c r="E6" i="10"/>
  <c r="F13" i="7"/>
  <c r="E18" i="10"/>
  <c r="E15" i="10"/>
  <c r="E17" i="10"/>
  <c r="E16" i="10"/>
  <c r="E14" i="10"/>
  <c r="E19" i="10"/>
  <c r="K13" i="10"/>
  <c r="F14" i="7" l="1"/>
  <c r="D2" i="10"/>
  <c r="D1" i="10"/>
  <c r="K14" i="10"/>
  <c r="F15" i="7" l="1"/>
  <c r="K15" i="10"/>
  <c r="K16" i="10" s="1"/>
  <c r="K17" i="10" s="1"/>
  <c r="K18" i="10" s="1"/>
  <c r="K19" i="10" s="1"/>
  <c r="K20" i="10" s="1"/>
  <c r="K21" i="10" s="1"/>
  <c r="K22" i="10" s="1"/>
  <c r="K23" i="10" s="1"/>
  <c r="K24" i="10" s="1"/>
  <c r="K25" i="10" s="1"/>
  <c r="K26" i="10" s="1"/>
  <c r="K27" i="10" s="1"/>
  <c r="K28" i="10" s="1"/>
  <c r="K29" i="10" s="1"/>
  <c r="K30" i="10" s="1"/>
  <c r="K31" i="10" s="1"/>
  <c r="K32" i="10" s="1"/>
  <c r="K33" i="10" s="1"/>
  <c r="K34" i="10" s="1"/>
  <c r="K35" i="10" s="1"/>
  <c r="K36" i="10" s="1"/>
  <c r="K37" i="10" s="1"/>
  <c r="K38" i="10" s="1"/>
  <c r="K39" i="10" s="1"/>
  <c r="K40" i="10" s="1"/>
  <c r="K41" i="10" s="1"/>
  <c r="K42" i="10" s="1"/>
  <c r="K43" i="10" s="1"/>
  <c r="K44" i="10" s="1"/>
  <c r="K45" i="10" s="1"/>
  <c r="K46" i="10" s="1"/>
  <c r="K47" i="10" s="1"/>
  <c r="F16" i="7" l="1"/>
  <c r="K48" i="10"/>
  <c r="K49" i="10" s="1"/>
  <c r="K50" i="10" s="1"/>
  <c r="K51" i="10" s="1"/>
  <c r="K52" i="10" s="1"/>
  <c r="F17" i="7" l="1"/>
  <c r="N47" i="10"/>
  <c r="N22" i="10"/>
  <c r="N44" i="10"/>
  <c r="N27" i="10"/>
  <c r="N43" i="10"/>
  <c r="N24" i="10"/>
  <c r="N45" i="10"/>
  <c r="N26" i="10"/>
  <c r="N3" i="10"/>
  <c r="N10" i="10"/>
  <c r="N15" i="10"/>
  <c r="N12" i="10"/>
  <c r="N34" i="10"/>
  <c r="N46" i="10"/>
  <c r="N20" i="10"/>
  <c r="N18" i="10"/>
  <c r="N13" i="10"/>
  <c r="N4" i="10"/>
  <c r="N16" i="10"/>
  <c r="N33" i="10"/>
  <c r="N31" i="10"/>
  <c r="N25" i="10"/>
  <c r="N21" i="10"/>
  <c r="N28" i="10"/>
  <c r="N39" i="10"/>
  <c r="N9" i="10"/>
  <c r="N8" i="10"/>
  <c r="N35" i="10"/>
  <c r="N2" i="10"/>
  <c r="N30" i="10"/>
  <c r="N42" i="10"/>
  <c r="N38" i="10"/>
  <c r="N5" i="10"/>
  <c r="N11" i="10"/>
  <c r="N29" i="10"/>
  <c r="N37" i="10"/>
  <c r="N17" i="10"/>
  <c r="N14" i="10"/>
  <c r="N41" i="10"/>
  <c r="N7" i="10"/>
  <c r="N23" i="10"/>
  <c r="N6" i="10"/>
  <c r="N19" i="10"/>
  <c r="N32" i="10"/>
  <c r="N40" i="10"/>
  <c r="N36" i="10"/>
  <c r="F18" i="7" l="1"/>
  <c r="M1" i="10"/>
  <c r="M2" i="10"/>
  <c r="F19" i="7" l="1"/>
  <c r="F20" i="7" l="1"/>
  <c r="F21" i="7" l="1"/>
  <c r="F22" i="7" l="1"/>
  <c r="F23" i="7" l="1"/>
  <c r="F24" i="7" l="1"/>
  <c r="F25" i="7" l="1"/>
  <c r="F26" i="7" l="1"/>
  <c r="F27" i="7" l="1"/>
  <c r="F28" i="7" l="1"/>
  <c r="F29" i="7" l="1"/>
  <c r="F30" i="7" l="1"/>
  <c r="F31" i="7" l="1"/>
  <c r="F32" i="7" l="1"/>
  <c r="F33" i="7" l="1"/>
  <c r="F34" i="7" l="1"/>
  <c r="F35" i="7" l="1"/>
  <c r="F36" i="7" l="1"/>
  <c r="F37" i="7" l="1"/>
  <c r="F38" i="7" l="1"/>
  <c r="F39" i="7" l="1"/>
  <c r="F40" i="7" s="1"/>
  <c r="F41" i="7" s="1"/>
  <c r="F42" i="7" s="1"/>
  <c r="F43" i="7" s="1"/>
  <c r="F44" i="7" s="1"/>
  <c r="F45" i="7" s="1"/>
  <c r="F46" i="7" s="1"/>
  <c r="F47" i="7" s="1"/>
  <c r="F48" i="7" s="1"/>
  <c r="F49" i="7" s="1"/>
  <c r="F50" i="7" s="1"/>
  <c r="F51" i="7" s="1"/>
  <c r="F52" i="7" s="1"/>
  <c r="F53" i="7" s="1"/>
  <c r="F54" i="7" s="1"/>
  <c r="F55" i="7" s="1"/>
  <c r="F56" i="7" s="1"/>
  <c r="F57" i="7" s="1"/>
  <c r="F58" i="7" s="1"/>
  <c r="F59" i="7" s="1"/>
  <c r="F60" i="7" s="1"/>
  <c r="F61" i="7" s="1"/>
  <c r="F62" i="7" s="1"/>
  <c r="F63" i="7" s="1"/>
  <c r="F64" i="7" s="1"/>
  <c r="F65" i="7" s="1"/>
  <c r="F66" i="7" s="1"/>
  <c r="F67" i="7" s="1"/>
  <c r="F68" i="7" s="1"/>
  <c r="F69" i="7" s="1"/>
  <c r="F70" i="7" s="1"/>
  <c r="F71" i="7" s="1"/>
  <c r="F72" i="7" s="1"/>
  <c r="F73" i="7" s="1"/>
  <c r="F74" i="7" s="1"/>
  <c r="F75" i="7" s="1"/>
  <c r="F76" i="7" s="1"/>
  <c r="F77" i="7" s="1"/>
  <c r="F78" i="7" s="1"/>
  <c r="F79" i="7" s="1"/>
  <c r="F80" i="7" s="1"/>
  <c r="F81" i="7" s="1"/>
  <c r="F82" i="7" s="1"/>
  <c r="F83" i="7" s="1"/>
  <c r="F84" i="7" s="1"/>
  <c r="F85" i="7" s="1"/>
  <c r="F86" i="7" s="1"/>
  <c r="F87" i="7" s="1"/>
  <c r="F88" i="7" s="1"/>
  <c r="F89" i="7" s="1"/>
  <c r="F90" i="7" s="1"/>
  <c r="F91" i="7" s="1"/>
  <c r="F92" i="7" s="1"/>
  <c r="F93" i="7" s="1"/>
  <c r="F94" i="7" s="1"/>
  <c r="F95" i="7" s="1"/>
  <c r="F96" i="7" s="1"/>
  <c r="F97" i="7" s="1"/>
  <c r="F98" i="7" s="1"/>
  <c r="F99" i="7" s="1"/>
  <c r="F100" i="7" s="1"/>
  <c r="F101" i="7" s="1"/>
  <c r="F102" i="7" s="1"/>
  <c r="F103" i="7" s="1"/>
  <c r="F104" i="7" s="1"/>
  <c r="F105" i="7" s="1"/>
  <c r="F106" i="7" s="1"/>
  <c r="F107" i="7" s="1"/>
  <c r="F108" i="7" s="1"/>
  <c r="F109" i="7" s="1"/>
  <c r="I10" i="7" l="1"/>
  <c r="I73" i="7"/>
  <c r="I75" i="7"/>
  <c r="I45" i="7"/>
  <c r="I40" i="7"/>
  <c r="I54" i="7"/>
  <c r="I69" i="7"/>
  <c r="I36" i="7"/>
  <c r="I14" i="7"/>
  <c r="I23" i="7"/>
  <c r="I100" i="7"/>
  <c r="I95" i="7"/>
  <c r="I104" i="7"/>
  <c r="I64" i="7"/>
  <c r="I61" i="7"/>
  <c r="I97" i="7"/>
  <c r="I44" i="7"/>
  <c r="I6" i="7"/>
  <c r="I76" i="7"/>
  <c r="I89" i="7"/>
  <c r="I32" i="7"/>
  <c r="I9" i="7"/>
  <c r="I17" i="7"/>
  <c r="I63" i="7"/>
  <c r="I72" i="7"/>
  <c r="I33" i="7"/>
  <c r="I101" i="7"/>
  <c r="I102" i="7"/>
  <c r="I13" i="7"/>
  <c r="I21" i="7"/>
  <c r="I105" i="7"/>
  <c r="I20" i="7"/>
  <c r="I88" i="7"/>
  <c r="I78" i="7"/>
  <c r="I30" i="7"/>
  <c r="I2" i="7"/>
  <c r="I85" i="7"/>
  <c r="I39" i="7"/>
  <c r="I15" i="7"/>
  <c r="I87" i="7"/>
  <c r="I92" i="7"/>
  <c r="I68" i="7"/>
  <c r="I41" i="7"/>
  <c r="I60" i="7"/>
  <c r="I96" i="7"/>
  <c r="I80" i="7"/>
  <c r="I12" i="7"/>
  <c r="I8" i="7"/>
  <c r="I77" i="7"/>
  <c r="I28" i="7"/>
  <c r="I25" i="7"/>
  <c r="I16" i="7"/>
  <c r="I5" i="7"/>
  <c r="I65" i="7"/>
  <c r="I57" i="7"/>
  <c r="I37" i="7"/>
  <c r="I79" i="7"/>
  <c r="I47" i="7"/>
  <c r="I94" i="7"/>
  <c r="I109" i="7"/>
  <c r="I29" i="7"/>
  <c r="I93" i="7"/>
  <c r="I56" i="7"/>
  <c r="I46" i="7"/>
  <c r="I55" i="7"/>
  <c r="I22" i="7"/>
  <c r="I103" i="7"/>
  <c r="I81" i="7"/>
  <c r="I74" i="7"/>
  <c r="I62" i="7"/>
  <c r="I67" i="7"/>
  <c r="I7" i="7"/>
  <c r="I51" i="7"/>
  <c r="I43" i="7"/>
  <c r="I91" i="7"/>
  <c r="I26" i="7"/>
  <c r="I71" i="7"/>
  <c r="I108" i="7"/>
  <c r="I11" i="7"/>
  <c r="I70" i="7"/>
  <c r="I49" i="7"/>
  <c r="I52" i="7"/>
  <c r="I27" i="7"/>
  <c r="I4" i="7"/>
  <c r="I31" i="7"/>
  <c r="I58" i="7"/>
  <c r="I24" i="7"/>
  <c r="I53" i="7"/>
  <c r="I34" i="7"/>
  <c r="I90" i="7"/>
  <c r="I18" i="7"/>
  <c r="I50" i="7"/>
  <c r="I38" i="7"/>
  <c r="I106" i="7"/>
  <c r="I84" i="7"/>
  <c r="I82" i="7"/>
  <c r="I48" i="7"/>
  <c r="I42" i="7"/>
  <c r="I86" i="7"/>
  <c r="I99" i="7"/>
  <c r="I35" i="7"/>
  <c r="I19" i="7"/>
  <c r="I83" i="7"/>
  <c r="I98" i="7"/>
  <c r="I107" i="7"/>
  <c r="I66" i="7"/>
  <c r="I59" i="7"/>
  <c r="I3" i="7"/>
  <c r="H2" i="7" l="1"/>
  <c r="H1" i="7"/>
</calcChain>
</file>

<file path=xl/sharedStrings.xml><?xml version="1.0" encoding="utf-8"?>
<sst xmlns="http://schemas.openxmlformats.org/spreadsheetml/2006/main" count="1487" uniqueCount="478">
  <si>
    <t>Jenis Bahan Bakar</t>
  </si>
  <si>
    <t>Premium</t>
  </si>
  <si>
    <t>Penggunaan</t>
  </si>
  <si>
    <t>LPG</t>
  </si>
  <si>
    <t>Nilai Kalor (TJ/unit)</t>
  </si>
  <si>
    <t>Marine Fuel Oil (liter)</t>
  </si>
  <si>
    <t>Marine Fuel Oil (ton)</t>
  </si>
  <si>
    <t>Gas Bumi (SCF)</t>
  </si>
  <si>
    <t>Gas Bumi (Nm3)</t>
  </si>
  <si>
    <t>LPG (kg)</t>
  </si>
  <si>
    <t>Premium (liter)</t>
  </si>
  <si>
    <t>Solar (HSD, ADO) (liter)</t>
  </si>
  <si>
    <t>Minyak Diesel (IDO) (liter)</t>
  </si>
  <si>
    <t>Batubara (ton)</t>
  </si>
  <si>
    <t>Kendaraan Bermotor</t>
  </si>
  <si>
    <t>Kendaraan Bermotor, Pembangkit</t>
  </si>
  <si>
    <t>Boiler Industri</t>
  </si>
  <si>
    <t>Pembangkit Listrik</t>
  </si>
  <si>
    <t>Industri, rumah tangga, restoran</t>
  </si>
  <si>
    <t>Rumah tangga, restoran</t>
  </si>
  <si>
    <t>Pembangkit Listrik, Industri</t>
  </si>
  <si>
    <t>Pertamax (liter)</t>
  </si>
  <si>
    <t>Pertamax Plus (liter)</t>
  </si>
  <si>
    <t>Minyak Mentah</t>
  </si>
  <si>
    <t>FE Default IPCC 2006 sumber tak Bergerak, kg/TJ</t>
  </si>
  <si>
    <t>Avgas</t>
  </si>
  <si>
    <t>Avtur</t>
  </si>
  <si>
    <t>FE Default IPCC 2006 sumber Bergerak, kg/TJ</t>
  </si>
  <si>
    <t>Ex-Post</t>
  </si>
  <si>
    <t>Ex-Ante</t>
  </si>
  <si>
    <t>Bali</t>
  </si>
  <si>
    <t>Nusa Tenggara Timur</t>
  </si>
  <si>
    <t>Kepulauan Riau</t>
  </si>
  <si>
    <t>Maluku</t>
  </si>
  <si>
    <t>Sulawesi Tenggara</t>
  </si>
  <si>
    <t>FE Data ESDM Gatrik, 2019 (ton CO2/MWh)</t>
  </si>
  <si>
    <t>Sulawesi Tengah</t>
  </si>
  <si>
    <t>Provinsi</t>
  </si>
  <si>
    <t>Grid</t>
  </si>
  <si>
    <t>Bangka Belitung</t>
  </si>
  <si>
    <t>Bengkulu</t>
  </si>
  <si>
    <t>Kalimantan Tengah</t>
  </si>
  <si>
    <t>Riau</t>
  </si>
  <si>
    <t>Maluku Utara</t>
  </si>
  <si>
    <t>Papua</t>
  </si>
  <si>
    <t>Sulawesi Utara</t>
  </si>
  <si>
    <t>Nusa Tenggara Barat</t>
  </si>
  <si>
    <t>0,52</t>
  </si>
  <si>
    <t>0,59</t>
  </si>
  <si>
    <t>0,53</t>
  </si>
  <si>
    <t>0,58</t>
  </si>
  <si>
    <t>0,65</t>
  </si>
  <si>
    <t>0,61</t>
  </si>
  <si>
    <t>0,67</t>
  </si>
  <si>
    <t>1,04</t>
  </si>
  <si>
    <t>0,64</t>
  </si>
  <si>
    <t>1,20</t>
  </si>
  <si>
    <t>0,76</t>
  </si>
  <si>
    <t>0,97</t>
  </si>
  <si>
    <t>1,40</t>
  </si>
  <si>
    <t>0,01</t>
  </si>
  <si>
    <t>0,69</t>
  </si>
  <si>
    <t>0,57</t>
  </si>
  <si>
    <t>0,60</t>
  </si>
  <si>
    <t>0,66</t>
  </si>
  <si>
    <t>0,56</t>
  </si>
  <si>
    <t>0,70</t>
  </si>
  <si>
    <t>0,71</t>
  </si>
  <si>
    <t>0,55</t>
  </si>
  <si>
    <t>N/A</t>
  </si>
  <si>
    <t>0,89</t>
  </si>
  <si>
    <t>1,31</t>
  </si>
  <si>
    <t>0,82</t>
  </si>
  <si>
    <t>0,74</t>
  </si>
  <si>
    <t>1,41</t>
  </si>
  <si>
    <t>0,88</t>
  </si>
  <si>
    <t>1,28</t>
  </si>
  <si>
    <t>0,85</t>
  </si>
  <si>
    <t>1,46</t>
  </si>
  <si>
    <t>0,91</t>
  </si>
  <si>
    <t>0,48</t>
  </si>
  <si>
    <t>0,54</t>
  </si>
  <si>
    <t>1,08</t>
  </si>
  <si>
    <t>0,62</t>
  </si>
  <si>
    <t>1,03</t>
  </si>
  <si>
    <t>0,63</t>
  </si>
  <si>
    <t>1,12</t>
  </si>
  <si>
    <t>Banten</t>
  </si>
  <si>
    <t>Dki Jakarta</t>
  </si>
  <si>
    <t>Jawa Barat</t>
  </si>
  <si>
    <t>Jawa Tengah</t>
  </si>
  <si>
    <t>Di Yogyakarta</t>
  </si>
  <si>
    <t>Jawa Timur</t>
  </si>
  <si>
    <t>0,80</t>
  </si>
  <si>
    <t>0,87</t>
  </si>
  <si>
    <t>0,50</t>
  </si>
  <si>
    <t>0,51</t>
  </si>
  <si>
    <t>Kalimantan Barat</t>
  </si>
  <si>
    <t>1,67</t>
  </si>
  <si>
    <t>0,37</t>
  </si>
  <si>
    <t>0,47</t>
  </si>
  <si>
    <t>1,27</t>
  </si>
  <si>
    <t>1,02</t>
  </si>
  <si>
    <t>1,63</t>
  </si>
  <si>
    <t>0,46</t>
  </si>
  <si>
    <t>0,49</t>
  </si>
  <si>
    <t>1,61</t>
  </si>
  <si>
    <t>0,86</t>
  </si>
  <si>
    <t>0,75</t>
  </si>
  <si>
    <t>0,72</t>
  </si>
  <si>
    <t>1,39</t>
  </si>
  <si>
    <t>Kalimantan Timur</t>
  </si>
  <si>
    <t>Papua Barat</t>
  </si>
  <si>
    <t>0,78</t>
  </si>
  <si>
    <t>0,79</t>
  </si>
  <si>
    <t>0,77</t>
  </si>
  <si>
    <t>1,14</t>
  </si>
  <si>
    <t>Sumatera Utara</t>
  </si>
  <si>
    <t>Sumatera Barat</t>
  </si>
  <si>
    <t>Sulawesi Selatan</t>
  </si>
  <si>
    <t>0,44</t>
  </si>
  <si>
    <t>0,43</t>
  </si>
  <si>
    <t>0,73</t>
  </si>
  <si>
    <t>Tanjung Balai Karimun</t>
  </si>
  <si>
    <t>Sulawesi Barat</t>
  </si>
  <si>
    <t>Gorontalo</t>
  </si>
  <si>
    <t>Aceh</t>
  </si>
  <si>
    <t>Jambi</t>
  </si>
  <si>
    <t>Lampung</t>
  </si>
  <si>
    <t>Sumatera Selatan</t>
  </si>
  <si>
    <t>1,19</t>
  </si>
  <si>
    <t>0,95</t>
  </si>
  <si>
    <t>0,94</t>
  </si>
  <si>
    <t>0,84</t>
  </si>
  <si>
    <t>0,93</t>
  </si>
  <si>
    <t>0,29</t>
  </si>
  <si>
    <t>0,42</t>
  </si>
  <si>
    <t>OM (CO2/MWh)</t>
  </si>
  <si>
    <r>
      <t>CO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</si>
  <si>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CH</t>
    </r>
    <r>
      <rPr>
        <b/>
        <vertAlign val="subscript"/>
        <sz val="11"/>
        <color theme="1"/>
        <rFont val="Calibri"/>
        <family val="2"/>
        <scheme val="minor"/>
      </rPr>
      <t>4</t>
    </r>
  </si>
  <si>
    <r>
      <t>N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</si>
  <si>
    <t>Sumber Energi</t>
  </si>
  <si>
    <t>Tipe Equipment</t>
  </si>
  <si>
    <t>Bergerak</t>
  </si>
  <si>
    <t>Tak Bergerak</t>
  </si>
  <si>
    <t>Tenaga Listrik</t>
  </si>
  <si>
    <t>Nilai Emisi Gas Rumah Kaca (per bulan)</t>
  </si>
  <si>
    <t>Konsumsi Energi (per bulan)</t>
  </si>
  <si>
    <t>Jenis Sumber Energi Bergerak</t>
  </si>
  <si>
    <t>Jenis Sumber Energi Tak Bergerak</t>
  </si>
  <si>
    <t>Nilai Kalor (TJ/kg)</t>
  </si>
  <si>
    <t>Orimulsion</t>
  </si>
  <si>
    <t>Kerosin Jet</t>
  </si>
  <si>
    <t>Kerosin Lain</t>
  </si>
  <si>
    <t>Shale oil</t>
  </si>
  <si>
    <t>Solar</t>
  </si>
  <si>
    <t>Residu</t>
  </si>
  <si>
    <t>Ethana</t>
  </si>
  <si>
    <t>Nafta</t>
  </si>
  <si>
    <t>Bitumen</t>
  </si>
  <si>
    <t>Pelumas</t>
  </si>
  <si>
    <t>Kokas</t>
  </si>
  <si>
    <t>Refinery feedstock</t>
  </si>
  <si>
    <t>Refinery gas</t>
  </si>
  <si>
    <t>Parafin</t>
  </si>
  <si>
    <t>Solvent</t>
  </si>
  <si>
    <t>Antrasit</t>
  </si>
  <si>
    <t>Arang Kokas</t>
  </si>
  <si>
    <t>Batubara Bitumen</t>
  </si>
  <si>
    <t>Batubara Sub-bitumen</t>
  </si>
  <si>
    <t>Lignit</t>
  </si>
  <si>
    <t>Bubuk Tar</t>
  </si>
  <si>
    <t>Briket Batubara</t>
  </si>
  <si>
    <t>Kokas Lignit</t>
  </si>
  <si>
    <t>Kokas Gas</t>
  </si>
  <si>
    <t>Gas Works Gas</t>
  </si>
  <si>
    <t>Coke Oven Gas</t>
  </si>
  <si>
    <t>Blast Furnace Gas</t>
  </si>
  <si>
    <t>Oxygen Steel Furnace Gas</t>
  </si>
  <si>
    <t>Gas Alam</t>
  </si>
  <si>
    <t>Limbah Kota</t>
  </si>
  <si>
    <t>Minyak Limbah</t>
  </si>
  <si>
    <t>Gambut</t>
  </si>
  <si>
    <t>Kayu/Limbah Kayu</t>
  </si>
  <si>
    <t>Arang Kayu</t>
  </si>
  <si>
    <t>Biomass padat lain</t>
  </si>
  <si>
    <t>Liquor Hitam</t>
  </si>
  <si>
    <t>Biodiesel</t>
  </si>
  <si>
    <t>Biogasoline</t>
  </si>
  <si>
    <t>Landfill Gas</t>
  </si>
  <si>
    <t>Sludge Gas</t>
  </si>
  <si>
    <t>Biogas Lainnya</t>
  </si>
  <si>
    <t>Tar Batubara</t>
  </si>
  <si>
    <t>LNG/CNG</t>
  </si>
  <si>
    <t>Biomass</t>
  </si>
  <si>
    <t>FE Data ESDM Gatrik, 2019 (kg CO2/kWh)</t>
  </si>
  <si>
    <t>Nilai Kalor (Nett Calorific Value)</t>
  </si>
  <si>
    <t>Satuan Konsumsi Energi (per bulan)</t>
  </si>
  <si>
    <t>Massa jenis sumber energi</t>
  </si>
  <si>
    <t>Density (kg/m3)</t>
  </si>
  <si>
    <t>Density (kg/l)</t>
  </si>
  <si>
    <t>Pertamax</t>
  </si>
  <si>
    <t>Pertalite</t>
  </si>
  <si>
    <t>Pertamax Plus/Turbo</t>
  </si>
  <si>
    <t>Energi Bergerak</t>
  </si>
  <si>
    <t>Energi Tidak Bergerak</t>
  </si>
  <si>
    <t>liter</t>
  </si>
  <si>
    <t>kilogram</t>
  </si>
  <si>
    <t>Konsumsi Energi (per bulan) (auto)</t>
  </si>
  <si>
    <t>Konsumsi Energi Listrik (per bulan)</t>
  </si>
  <si>
    <t>Bahan Bakar Fossil</t>
  </si>
  <si>
    <t>Biomassa</t>
  </si>
  <si>
    <t>Emission Factor (Gatrik ESDM 2019)</t>
  </si>
  <si>
    <t>Lokasi Industri/Grid Pembangkit</t>
  </si>
  <si>
    <t>Jenis Biomassa</t>
  </si>
  <si>
    <t xml:space="preserve"> </t>
  </si>
  <si>
    <t>SUMBER ENERGI APA YANG ANDA GUNAKAN ?</t>
  </si>
  <si>
    <r>
      <t>Faktor Emisi CO</t>
    </r>
    <r>
      <rPr>
        <b/>
        <vertAlign val="subscript"/>
        <sz val="12"/>
        <color rgb="FF5A4B29"/>
        <rFont val="AvantGarde Bk BT"/>
        <family val="2"/>
      </rPr>
      <t>2</t>
    </r>
    <r>
      <rPr>
        <b/>
        <sz val="12"/>
        <color rgb="FF5A4B29"/>
        <rFont val="AvantGarde Bk BT"/>
        <family val="2"/>
      </rPr>
      <t xml:space="preserve"> (Bergerak)</t>
    </r>
  </si>
  <si>
    <r>
      <t>Faktor Emisi CH</t>
    </r>
    <r>
      <rPr>
        <b/>
        <vertAlign val="subscript"/>
        <sz val="12"/>
        <color rgb="FF5A4B29"/>
        <rFont val="AvantGarde Bk BT"/>
        <family val="2"/>
      </rPr>
      <t>4</t>
    </r>
    <r>
      <rPr>
        <b/>
        <sz val="12"/>
        <color rgb="FF5A4B29"/>
        <rFont val="AvantGarde Bk BT"/>
        <family val="2"/>
      </rPr>
      <t xml:space="preserve"> (Bergerak)</t>
    </r>
  </si>
  <si>
    <r>
      <t>Faktor Emisi N</t>
    </r>
    <r>
      <rPr>
        <b/>
        <vertAlign val="subscript"/>
        <sz val="12"/>
        <color rgb="FF5A4B29"/>
        <rFont val="AvantGarde Bk BT"/>
        <family val="2"/>
      </rPr>
      <t>2</t>
    </r>
    <r>
      <rPr>
        <b/>
        <sz val="12"/>
        <color rgb="FF5A4B29"/>
        <rFont val="AvantGarde Bk BT"/>
        <family val="2"/>
      </rPr>
      <t>O (Bergerak)</t>
    </r>
  </si>
  <si>
    <r>
      <t>Faktor Emisi CO</t>
    </r>
    <r>
      <rPr>
        <b/>
        <vertAlign val="subscript"/>
        <sz val="12"/>
        <color rgb="FF5A4B29"/>
        <rFont val="AvantGarde Bk BT"/>
        <family val="2"/>
      </rPr>
      <t>2</t>
    </r>
    <r>
      <rPr>
        <b/>
        <sz val="12"/>
        <color rgb="FF5A4B29"/>
        <rFont val="AvantGarde Bk BT"/>
        <family val="2"/>
      </rPr>
      <t xml:space="preserve"> (Tak Bergerak)</t>
    </r>
  </si>
  <si>
    <r>
      <t>Faktor Emisi CH</t>
    </r>
    <r>
      <rPr>
        <b/>
        <vertAlign val="subscript"/>
        <sz val="12"/>
        <color rgb="FF5A4B29"/>
        <rFont val="AvantGarde Bk BT"/>
        <family val="2"/>
      </rPr>
      <t>4</t>
    </r>
    <r>
      <rPr>
        <b/>
        <sz val="12"/>
        <color rgb="FF5A4B29"/>
        <rFont val="AvantGarde Bk BT"/>
        <family val="2"/>
      </rPr>
      <t xml:space="preserve"> (Tak Bergerak)</t>
    </r>
  </si>
  <si>
    <r>
      <t>Faktor Emisi N</t>
    </r>
    <r>
      <rPr>
        <b/>
        <vertAlign val="subscript"/>
        <sz val="12"/>
        <color rgb="FF5A4B29"/>
        <rFont val="AvantGarde Bk BT"/>
        <family val="2"/>
      </rPr>
      <t>2</t>
    </r>
    <r>
      <rPr>
        <b/>
        <sz val="12"/>
        <color rgb="FF5A4B29"/>
        <rFont val="AvantGarde Bk BT"/>
        <family val="2"/>
      </rPr>
      <t>O (Tak Bergerak)</t>
    </r>
  </si>
  <si>
    <r>
      <t>Emisi Karbon Dioksida (CO</t>
    </r>
    <r>
      <rPr>
        <b/>
        <vertAlign val="subscript"/>
        <sz val="12"/>
        <color rgb="FF5A4B29"/>
        <rFont val="AvantGarde Bk BT"/>
        <family val="2"/>
      </rPr>
      <t>2</t>
    </r>
    <r>
      <rPr>
        <b/>
        <sz val="12"/>
        <color rgb="FF5A4B29"/>
        <rFont val="AvantGarde Bk BT"/>
        <family val="2"/>
      </rPr>
      <t>)</t>
    </r>
  </si>
  <si>
    <r>
      <t>kg CO</t>
    </r>
    <r>
      <rPr>
        <b/>
        <vertAlign val="subscript"/>
        <sz val="12"/>
        <color theme="0"/>
        <rFont val="AvantGarde Bk BT"/>
        <family val="2"/>
      </rPr>
      <t>2</t>
    </r>
  </si>
  <si>
    <r>
      <t>kg CO</t>
    </r>
    <r>
      <rPr>
        <b/>
        <vertAlign val="subscript"/>
        <sz val="12"/>
        <color theme="0"/>
        <rFont val="AvantGarde Bk BT"/>
        <family val="2"/>
      </rPr>
      <t>2</t>
    </r>
    <r>
      <rPr>
        <b/>
        <sz val="12"/>
        <color theme="0"/>
        <rFont val="AvantGarde Bk BT"/>
        <family val="2"/>
      </rPr>
      <t>e</t>
    </r>
  </si>
  <si>
    <r>
      <t>Emisi Metana (CH</t>
    </r>
    <r>
      <rPr>
        <b/>
        <vertAlign val="subscript"/>
        <sz val="12"/>
        <color rgb="FF5A4B29"/>
        <rFont val="AvantGarde Bk BT"/>
        <family val="2"/>
      </rPr>
      <t>4</t>
    </r>
    <r>
      <rPr>
        <b/>
        <sz val="12"/>
        <color rgb="FF5A4B29"/>
        <rFont val="AvantGarde Bk BT"/>
        <family val="2"/>
      </rPr>
      <t>)</t>
    </r>
  </si>
  <si>
    <r>
      <t>kg CH</t>
    </r>
    <r>
      <rPr>
        <b/>
        <vertAlign val="subscript"/>
        <sz val="12"/>
        <color theme="0"/>
        <rFont val="AvantGarde Bk BT"/>
        <family val="2"/>
      </rPr>
      <t>4</t>
    </r>
  </si>
  <si>
    <r>
      <t>Emisi Nitrous Oxide (N</t>
    </r>
    <r>
      <rPr>
        <b/>
        <vertAlign val="subscript"/>
        <sz val="12"/>
        <color rgb="FF5A4B29"/>
        <rFont val="AvantGarde Bk BT"/>
        <family val="2"/>
      </rPr>
      <t>2</t>
    </r>
    <r>
      <rPr>
        <b/>
        <sz val="12"/>
        <color rgb="FF5A4B29"/>
        <rFont val="AvantGarde Bk BT"/>
        <family val="2"/>
      </rPr>
      <t>O)</t>
    </r>
  </si>
  <si>
    <r>
      <t>kg N</t>
    </r>
    <r>
      <rPr>
        <b/>
        <vertAlign val="subscript"/>
        <sz val="12"/>
        <color theme="0"/>
        <rFont val="AvantGarde Bk BT"/>
        <family val="2"/>
      </rPr>
      <t>2</t>
    </r>
    <r>
      <rPr>
        <b/>
        <sz val="12"/>
        <color theme="0"/>
        <rFont val="AvantGarde Bk BT"/>
        <family val="2"/>
      </rPr>
      <t>O</t>
    </r>
  </si>
  <si>
    <r>
      <t>Total Emisi CO</t>
    </r>
    <r>
      <rPr>
        <b/>
        <vertAlign val="subscript"/>
        <sz val="12"/>
        <color rgb="FF5A4B29"/>
        <rFont val="AvantGarde Bk BT"/>
        <family val="2"/>
      </rPr>
      <t>2</t>
    </r>
    <r>
      <rPr>
        <b/>
        <sz val="12"/>
        <color rgb="FF5A4B29"/>
        <rFont val="AvantGarde Bk BT"/>
        <family val="2"/>
      </rPr>
      <t xml:space="preserve"> ekivalen</t>
    </r>
  </si>
  <si>
    <r>
      <t>Faktor Emisi CO</t>
    </r>
    <r>
      <rPr>
        <b/>
        <vertAlign val="subscript"/>
        <sz val="12"/>
        <color rgb="FF5A4B29"/>
        <rFont val="AvantGarde Bk BT"/>
        <family val="2"/>
      </rPr>
      <t>2</t>
    </r>
    <r>
      <rPr>
        <b/>
        <sz val="12"/>
        <color rgb="FF5A4B29"/>
        <rFont val="AvantGarde Bk BT"/>
        <family val="2"/>
      </rPr>
      <t xml:space="preserve"> (Listrik)</t>
    </r>
  </si>
  <si>
    <r>
      <t>Faktor Emisi CH</t>
    </r>
    <r>
      <rPr>
        <b/>
        <vertAlign val="subscript"/>
        <sz val="12"/>
        <color rgb="FF5A4B29"/>
        <rFont val="AvantGarde Bk BT"/>
        <family val="2"/>
      </rPr>
      <t>4</t>
    </r>
    <r>
      <rPr>
        <b/>
        <sz val="12"/>
        <color rgb="FF5A4B29"/>
        <rFont val="AvantGarde Bk BT"/>
        <family val="2"/>
      </rPr>
      <t xml:space="preserve"> (Listrik)</t>
    </r>
  </si>
  <si>
    <r>
      <t>Faktor Emisi N</t>
    </r>
    <r>
      <rPr>
        <b/>
        <vertAlign val="subscript"/>
        <sz val="12"/>
        <color rgb="FF5A4B29"/>
        <rFont val="AvantGarde Bk BT"/>
        <family val="2"/>
      </rPr>
      <t>2</t>
    </r>
    <r>
      <rPr>
        <b/>
        <sz val="12"/>
        <color rgb="FF5A4B29"/>
        <rFont val="AvantGarde Bk BT"/>
        <family val="2"/>
      </rPr>
      <t>O (Listrik)</t>
    </r>
  </si>
  <si>
    <t xml:space="preserve">  kg GRK/TJ</t>
  </si>
  <si>
    <t xml:space="preserve">  TJ/kg</t>
  </si>
  <si>
    <t xml:space="preserve">  kg</t>
  </si>
  <si>
    <t xml:space="preserve">  kg/liter</t>
  </si>
  <si>
    <t xml:space="preserve">  liter</t>
  </si>
  <si>
    <t xml:space="preserve">  TJ</t>
  </si>
  <si>
    <t xml:space="preserve">  kg GRK/kWh</t>
  </si>
  <si>
    <t xml:space="preserve">  kWh</t>
  </si>
  <si>
    <t>SIH</t>
  </si>
  <si>
    <t>Sat</t>
  </si>
  <si>
    <t>Maksimum / ton Produk</t>
  </si>
  <si>
    <t>No Permenperin</t>
  </si>
  <si>
    <t>Ket.</t>
  </si>
  <si>
    <t>kg CO2/ton</t>
  </si>
  <si>
    <t>Polimer</t>
  </si>
  <si>
    <t>Daur Ulang</t>
  </si>
  <si>
    <t>Biopolimer</t>
  </si>
  <si>
    <t>Fusion Granulation</t>
  </si>
  <si>
    <t>Chemical Granulation</t>
  </si>
  <si>
    <t>Karet Remah (Crumb Rubber)</t>
  </si>
  <si>
    <t>-</t>
  </si>
  <si>
    <t>Penyamakan Kulit Sapi, Kerbau Domba Kambing</t>
  </si>
  <si>
    <t>Kaca Lembaran</t>
  </si>
  <si>
    <t>BIIa, BIIb, BIII</t>
  </si>
  <si>
    <t>BIa, BIb</t>
  </si>
  <si>
    <t>Oleokimia Dasar bersumber Minyak Nabati</t>
  </si>
  <si>
    <t>Kopi Instan</t>
  </si>
  <si>
    <t>Barang Lainnya dari Kaca</t>
  </si>
  <si>
    <t>Tanpa Peletisasi</t>
  </si>
  <si>
    <t>Dengan Peletisasi</t>
  </si>
  <si>
    <t>Tanpa Blower</t>
  </si>
  <si>
    <t>Dengan Blower</t>
  </si>
  <si>
    <t>Gula Kristal Putih</t>
  </si>
  <si>
    <t>tebu</t>
  </si>
  <si>
    <t>Peralatan Saniter dari Keramik</t>
  </si>
  <si>
    <t>Biskuit dan Produk Roti Kering Lainnya</t>
  </si>
  <si>
    <t>Suku Cadang dan Silencer Kendaraan Roda Empat atau Lebih</t>
  </si>
  <si>
    <t>Single Firing</t>
  </si>
  <si>
    <t>Double Firing</t>
  </si>
  <si>
    <t>Botol</t>
  </si>
  <si>
    <t>Galon</t>
  </si>
  <si>
    <t>Kemasan dari Kaca</t>
  </si>
  <si>
    <t>Kertas dan Papan Kertas Bergelombang</t>
  </si>
  <si>
    <t>Cat Berbasis Pelarut Organik</t>
  </si>
  <si>
    <t>Kendaraan Besar</t>
  </si>
  <si>
    <t>per m2</t>
  </si>
  <si>
    <t>Kendaraan Kecil</t>
  </si>
  <si>
    <t>Bangunan</t>
  </si>
  <si>
    <t>Ribbed Smoked Sheet Rubber</t>
  </si>
  <si>
    <t>Pulp</t>
  </si>
  <si>
    <t>ton pulp</t>
  </si>
  <si>
    <t>Pulp terintegrasi kertas</t>
  </si>
  <si>
    <t>ton kertas</t>
  </si>
  <si>
    <t>Tekstil Pencelupan, Pencapan, dan Penyempurnaan</t>
  </si>
  <si>
    <t>Cat Berbasis Air</t>
  </si>
  <si>
    <t>Batik</t>
  </si>
  <si>
    <t>Kertas Budaya</t>
  </si>
  <si>
    <t>Batubara</t>
  </si>
  <si>
    <t>Gas</t>
  </si>
  <si>
    <t>Cementitious</t>
  </si>
  <si>
    <t>Pupuk Urea, Pupuk SP-36, dan Pupuk Amonium Sulfat</t>
  </si>
  <si>
    <t>Evaporasi, Spray Drying</t>
  </si>
  <si>
    <t>Non Evap, Spray Drying</t>
  </si>
  <si>
    <t>Dry Blending</t>
  </si>
  <si>
    <t>Bahan / Metode Produksi</t>
  </si>
  <si>
    <t>Tas, Kantong Plastik, Bioplastik bahan Polimer</t>
  </si>
  <si>
    <t>Tas, Kantong Plastik, Bioplastik bahan Daur Ulang</t>
  </si>
  <si>
    <t>Tas, Kantong Plastik, Bioplastik bahan Biopolimer</t>
  </si>
  <si>
    <t>OM Ex-Post (kg CO2/kWh)</t>
  </si>
  <si>
    <t>Jenis Industri</t>
  </si>
  <si>
    <t>Pupuk Nitrogen, Phospor, Kalium Padat (Fusion Granulation)</t>
  </si>
  <si>
    <t>Pupuk Nitrogen, Phospor, Kalium Padat (Chemical Granulation)</t>
  </si>
  <si>
    <t>Ubin Keramik Kategori BIIa, BIIb, BIII</t>
  </si>
  <si>
    <t>Ubin Keramik Kategori BIa, BIb</t>
  </si>
  <si>
    <t>Tepung Terigu Tanpa Peletisasi</t>
  </si>
  <si>
    <t>Tepung Terigu Dengan Peletisasi</t>
  </si>
  <si>
    <t>Pengasapan Karet (Ribbed Smoked Sheet) Tanpa Blower</t>
  </si>
  <si>
    <t>Pengasapan Karet (Ribbed Smoked Sheet) Dengan Blower</t>
  </si>
  <si>
    <t>Peralatan Rumah Tangga dari Keramik Single Firing</t>
  </si>
  <si>
    <t>Peralatan Rumah Tangga dari Keramik Double Firing</t>
  </si>
  <si>
    <t>Industri Air Mineral dalam Botol</t>
  </si>
  <si>
    <t>Industri Air Mineral dalam Galon</t>
  </si>
  <si>
    <t>Kaca Pengaman Berlapis Kendaraan Besar</t>
  </si>
  <si>
    <t>Kaca Pengaman Berlapis Kendaraan Kecil</t>
  </si>
  <si>
    <t>Kaca Pengaman Berlapis Bangunan</t>
  </si>
  <si>
    <t>Industri Kaca Pengaman Diperkeras/Tempered Kendaraan Besar</t>
  </si>
  <si>
    <t>Industri Kaca Pengaman Diperkeras/Tempered Kendaraan Kecil</t>
  </si>
  <si>
    <t>Industri Kaca Pengaman Diperkeras/Tempered Bangunan</t>
  </si>
  <si>
    <t>Bubur Kertas Pulp</t>
  </si>
  <si>
    <t>Bubur Kertas Pulp terintegrasi Kertas</t>
  </si>
  <si>
    <t>Minyak Goreng dari Kelapa Sawit, energi Batubara</t>
  </si>
  <si>
    <t>Minyak Goreng dari Kelapa Sawit, energi Biomassa</t>
  </si>
  <si>
    <t>Minyak Goreng dari Kelapa Sawit, energi Gas</t>
  </si>
  <si>
    <t>Industri Semen Portland Cementitious</t>
  </si>
  <si>
    <t>Pengolahan Susu Bubuk dengan Evaporasi &amp; Spray Drying</t>
  </si>
  <si>
    <t>Pengolahan Susu Bubuk dengan Non Evaporasi &amp; Spray Drying</t>
  </si>
  <si>
    <t>Pengolahan Susu Bubuk dengan Dry Blending</t>
  </si>
  <si>
    <t xml:space="preserve">  ton</t>
  </si>
  <si>
    <t>Satuan</t>
  </si>
  <si>
    <r>
      <t xml:space="preserve">  m</t>
    </r>
    <r>
      <rPr>
        <vertAlign val="superscript"/>
        <sz val="11"/>
        <color theme="1"/>
        <rFont val="Calibri"/>
        <family val="2"/>
        <scheme val="minor"/>
      </rPr>
      <t>2</t>
    </r>
  </si>
  <si>
    <t>Emisi yang Dihasilkan per Bulan dari Produksi</t>
  </si>
  <si>
    <t>Kategori Emisi</t>
  </si>
  <si>
    <r>
      <t>Batas Emisi CO</t>
    </r>
    <r>
      <rPr>
        <b/>
        <vertAlign val="subscript"/>
        <sz val="12"/>
        <color rgb="FF5A4B29"/>
        <rFont val="AvantGarde Bk BT"/>
        <family val="2"/>
      </rPr>
      <t>2</t>
    </r>
    <r>
      <rPr>
        <b/>
        <sz val="12"/>
        <color rgb="FF5A4B29"/>
        <rFont val="AvantGarde Bk BT"/>
        <family val="2"/>
        <charset val="1"/>
      </rPr>
      <t>e Industri (kg CO2e / sat. produk)</t>
    </r>
  </si>
  <si>
    <r>
      <t>Emisi CO</t>
    </r>
    <r>
      <rPr>
        <b/>
        <vertAlign val="subscript"/>
        <sz val="12"/>
        <color rgb="FF5A4B29"/>
        <rFont val="AvantGarde Bk BT"/>
        <family val="2"/>
      </rPr>
      <t>2</t>
    </r>
    <r>
      <rPr>
        <b/>
        <sz val="12"/>
        <color rgb="FF5A4B29"/>
        <rFont val="AvantGarde Bk BT"/>
        <family val="2"/>
        <charset val="1"/>
      </rPr>
      <t>e Industri (kg CO</t>
    </r>
    <r>
      <rPr>
        <b/>
        <vertAlign val="subscript"/>
        <sz val="12"/>
        <color rgb="FF5A4B29"/>
        <rFont val="AvantGarde Bk BT"/>
        <family val="2"/>
      </rPr>
      <t>2</t>
    </r>
    <r>
      <rPr>
        <b/>
        <sz val="12"/>
        <color rgb="FF5A4B29"/>
        <rFont val="AvantGarde Bk BT"/>
        <family val="2"/>
        <charset val="1"/>
      </rPr>
      <t>e / sat. produk)</t>
    </r>
  </si>
  <si>
    <t>PERMENPERIN NO. 55 TAHUN 2020</t>
  </si>
  <si>
    <t>PERMENPERIN NO. 50 TAHUN 2020</t>
  </si>
  <si>
    <t>PERMENPERIN NO. 9 TAHUN 2019</t>
  </si>
  <si>
    <t>PERMENPERIN NO. 37 TAHUN 2019</t>
  </si>
  <si>
    <t>PERMENPERIN NO. 12 TAHUN 2020</t>
  </si>
  <si>
    <t>PERMENPERIN NO. 12 TAHUN 2019</t>
  </si>
  <si>
    <t>PERMENPERIN NO. 31 TAHUN 2021</t>
  </si>
  <si>
    <t>PERMENPERIN NO. 54 TAHUN 2020</t>
  </si>
  <si>
    <t>PERMENPERIN NO. 30 TAHUN 2021</t>
  </si>
  <si>
    <t>PERMENPERIN NO. 32 TAHUN 2021</t>
  </si>
  <si>
    <t>PERMENPERIN NO. 33 TAHUN 2021</t>
  </si>
  <si>
    <t>PERMENPERIN NO. 9 TAHUN 2020</t>
  </si>
  <si>
    <t>PERMENPERIN NO. 10 TAHUN 2020</t>
  </si>
  <si>
    <t>PERMENPERIN NO. 11 TAHUN 2020</t>
  </si>
  <si>
    <t>PERMENPERIN NO. 13 TAHUN 2020</t>
  </si>
  <si>
    <t>PERMENPERIN NO. 46 TAHUN 2020</t>
  </si>
  <si>
    <t>PERMENPERIN NO. 47 TAHUN 2020</t>
  </si>
  <si>
    <t>PERMENPERIN NO. 48 TAHUN 2020</t>
  </si>
  <si>
    <t>PERMENPERIN NO. 49 TAHUN 2020</t>
  </si>
  <si>
    <t>PERMENPERIN NO. 51 TAHUN 2020</t>
  </si>
  <si>
    <t>PERMENPERIN NO. 52 TAHUN 2020</t>
  </si>
  <si>
    <t>PERMENPERIN NO. 53 TAHUN 2020</t>
  </si>
  <si>
    <t>PERMENPERIN NO. 10 TAHUN 2019</t>
  </si>
  <si>
    <t>PERMENPERIN NO. 11 TAHUN 2019</t>
  </si>
  <si>
    <t>PERMENPERIN NO. 13 TAHUN 2019</t>
  </si>
  <si>
    <t>PERMENPERIN NO. 38 TAHUN 2019</t>
  </si>
  <si>
    <t>PERMENPERIN NO. 39 TAHUN 2019</t>
  </si>
  <si>
    <t>PERMENPERIN NO. 40 TAHUN 2019</t>
  </si>
  <si>
    <t>PERMENPERIN NO. 41 TAHUN 2019</t>
  </si>
  <si>
    <t>PERMENPERIN NO. 26 TAHUN 2018</t>
  </si>
  <si>
    <t>PERMENPERIN NO. 27 TAHUN 2018</t>
  </si>
  <si>
    <t>PERMENPERIN NO. 28 TAHUN 2018</t>
  </si>
  <si>
    <t>Peraturan Acuan Batas Emisi</t>
  </si>
  <si>
    <t>PERTIMBANGAN PENENTUAN PEMILIHAN PENDEKATAN TIER 1</t>
  </si>
  <si>
    <t>SOURCE : 2006 IPCC GUIDELINES FOR NATIONAL GREENHOUSE GAS INVENTORIES, PEDOMAN INVENTARISASI GRK KLHK 2012</t>
  </si>
  <si>
    <t>RUMUS YANG DIGUNAKAN DALAM PERHITUNGAN</t>
  </si>
  <si>
    <t>DATABASE YANG DIGUNAKAN</t>
  </si>
  <si>
    <t>DIREKTORAT JENDERAL KETENAGALISTRIKAN KEMENTERIAN ENERGI DAN SUMBER DAYA MINERAL</t>
  </si>
  <si>
    <t>ACUAN KONVERSI CO2 EKIVALEN</t>
  </si>
  <si>
    <t>https://www.ipcc-nggip.iges.or.jp/EFDB/main.php</t>
  </si>
  <si>
    <t>WEB       :</t>
  </si>
  <si>
    <t>https://gatrik.esdm.go.id/</t>
  </si>
  <si>
    <t>ACUAN DAN REFERENSI</t>
  </si>
  <si>
    <r>
      <rPr>
        <b/>
        <i/>
        <u/>
        <sz val="11"/>
        <color rgb="FF733F2C"/>
        <rFont val="Calibri"/>
        <family val="2"/>
        <scheme val="minor"/>
      </rPr>
      <t>Attention</t>
    </r>
    <r>
      <rPr>
        <b/>
        <u/>
        <sz val="11"/>
        <color rgb="FF733F2C"/>
        <rFont val="Calibri"/>
        <family val="2"/>
        <scheme val="minor"/>
      </rPr>
      <t>/Perhatian:</t>
    </r>
  </si>
  <si>
    <t>mohon enable macros anda</t>
  </si>
  <si>
    <t>zoom level pada 86%</t>
  </si>
  <si>
    <t>SOURCE : GHG PROTOCOL 2016 FIFTH ASSESMENT REPORT (AR5)</t>
  </si>
  <si>
    <r>
      <t xml:space="preserve">  ft</t>
    </r>
    <r>
      <rPr>
        <vertAlign val="superscript"/>
        <sz val="11"/>
        <color theme="1"/>
        <rFont val="Calibri"/>
        <family val="2"/>
        <scheme val="minor"/>
      </rPr>
      <t>2</t>
    </r>
  </si>
  <si>
    <t>Adonara - NTT</t>
  </si>
  <si>
    <t>Alor - NTT</t>
  </si>
  <si>
    <t>Ambon - Maluku</t>
  </si>
  <si>
    <t>Bangka - Bangka Belitung</t>
  </si>
  <si>
    <t>Barito - Kalimantan Tengah</t>
  </si>
  <si>
    <t>Bau-Bau - Sulawesi Tenggara</t>
  </si>
  <si>
    <t>Belitung - Bangka Belitung</t>
  </si>
  <si>
    <t>Bengkalis - Riau</t>
  </si>
  <si>
    <t>Biak - Papua</t>
  </si>
  <si>
    <t>Bualemo - Sulawesi Tengah</t>
  </si>
  <si>
    <t>Buano - Maluku</t>
  </si>
  <si>
    <t>Buli - Maluku Utara</t>
  </si>
  <si>
    <t>Concong Luar - Riau</t>
  </si>
  <si>
    <t>Daruba - Maluku Utara</t>
  </si>
  <si>
    <t>Dobo - Maluku</t>
  </si>
  <si>
    <t>Ibu - Maluku Utara</t>
  </si>
  <si>
    <t>Ipuh - Bengkulu</t>
  </si>
  <si>
    <t>Jayapura - Papua</t>
  </si>
  <si>
    <t>Karakelang - Sulawesi Utara</t>
  </si>
  <si>
    <t>Kendari - Sulawesi Tenggara</t>
  </si>
  <si>
    <t>Kesui - Maluku</t>
  </si>
  <si>
    <t>Kian Darat - Maluku</t>
  </si>
  <si>
    <t>Kisar - Maluku</t>
  </si>
  <si>
    <t>Kobisonta - Maluku</t>
  </si>
  <si>
    <t>Kolaka - Sulawesi Tenggara</t>
  </si>
  <si>
    <t>Kota Bani - Bengkulu</t>
  </si>
  <si>
    <t>Kota Lama - Riau</t>
  </si>
  <si>
    <t>Kotaraya - Sulawesi Tengah</t>
  </si>
  <si>
    <t>Laimu - Maluku</t>
  </si>
  <si>
    <t>Lambuya - Sulawesi Tenggara</t>
  </si>
  <si>
    <t>Lelang - Sulawesi Tengah</t>
  </si>
  <si>
    <t>Lemang - Riau</t>
  </si>
  <si>
    <t>Letung - Kepulauan Riau</t>
  </si>
  <si>
    <t>Lirung - Sulawesi Utara</t>
  </si>
  <si>
    <t>Luwuk - Sulawesi Tengah</t>
  </si>
  <si>
    <t>Mahakam - Kalimantan Timur</t>
  </si>
  <si>
    <t>Mangaran - Sulawesi Utara</t>
  </si>
  <si>
    <t>Manokwari - Papua Barat</t>
  </si>
  <si>
    <t>Merauke - Papua</t>
  </si>
  <si>
    <t>Moa - Maluku</t>
  </si>
  <si>
    <t>Nabire - Papua</t>
  </si>
  <si>
    <t>Namlea - Maluku</t>
  </si>
  <si>
    <t>Nias - Sumatera Utara</t>
  </si>
  <si>
    <t>Pulau Buru - Maluku</t>
  </si>
  <si>
    <t>Pulau Halang - Riau</t>
  </si>
  <si>
    <t>Raha - Sulawesi Tenggara</t>
  </si>
  <si>
    <t>Ranai - Kepulauan Riau</t>
  </si>
  <si>
    <t>S Nasik - Bangka Belitung</t>
  </si>
  <si>
    <t>Saumlaki - Maluku</t>
  </si>
  <si>
    <t>Selat Panjang - Riau</t>
  </si>
  <si>
    <t>Serui - Papua</t>
  </si>
  <si>
    <t>Siberut - Sumatera Barat</t>
  </si>
  <si>
    <t>Sipora - Sumatera Barat</t>
  </si>
  <si>
    <t>Sorong - Papua Barat</t>
  </si>
  <si>
    <t>Sumbawa - NTB</t>
  </si>
  <si>
    <t>Tahuna - Sulawesi Utara</t>
  </si>
  <si>
    <t>Tambelan - Kepulauan Riau</t>
  </si>
  <si>
    <t>Taniwel - Maluku</t>
  </si>
  <si>
    <t>Tanjung Samak - Riau</t>
  </si>
  <si>
    <t>Tarakan - Kalimantan Utara</t>
  </si>
  <si>
    <t>Tehoru - Maluku</t>
  </si>
  <si>
    <t>Teluk Ketapang - Riau</t>
  </si>
  <si>
    <t>Timika - Papua</t>
  </si>
  <si>
    <t>Timor - NTT</t>
  </si>
  <si>
    <t>Tobelo - Maluku Utara</t>
  </si>
  <si>
    <t>Toili - Sulawesi Tengah</t>
  </si>
  <si>
    <t>Toli-Toli - Sulawesi Tengah</t>
  </si>
  <si>
    <t>Tual - Maluku</t>
  </si>
  <si>
    <t>Wahai - Maluku</t>
  </si>
  <si>
    <t>Waingapu - NTT</t>
  </si>
  <si>
    <t>Wakai - Sulawesi Tengah</t>
  </si>
  <si>
    <t>Werinama - Maluku</t>
  </si>
  <si>
    <t>Batam - Kep. Riau</t>
  </si>
  <si>
    <t>Bima - NTB</t>
  </si>
  <si>
    <t>Dabo Singkep - Kep.Riau</t>
  </si>
  <si>
    <t>Ende - NTT</t>
  </si>
  <si>
    <t>DI Yogyakarta</t>
  </si>
  <si>
    <t>DKI Jakarta</t>
  </si>
  <si>
    <t>Ladan - Kep. Riau</t>
  </si>
  <si>
    <t>Lombok - NTB</t>
  </si>
  <si>
    <t>Maumere - NTT</t>
  </si>
  <si>
    <t>Palu - Sulawesi Tengah</t>
  </si>
  <si>
    <t>Pagai Selatan - Sum. Barat</t>
  </si>
  <si>
    <t>Tanjung Batu - Kep. Riau</t>
  </si>
  <si>
    <t>Wangi-Wangi - SulTra</t>
  </si>
  <si>
    <t>Ternate -Tidore</t>
  </si>
  <si>
    <t>Tagulandang - SulUt</t>
  </si>
  <si>
    <t>Siberut Utara - Sum. Barat</t>
  </si>
  <si>
    <t>Pulau Tello - SulSel</t>
  </si>
  <si>
    <t>Lumbi-lumbia - SulTeng</t>
  </si>
  <si>
    <t>Pontianak - KalBar</t>
  </si>
  <si>
    <r>
      <t xml:space="preserve">  kg CO</t>
    </r>
    <r>
      <rPr>
        <b/>
        <vertAlign val="subscript"/>
        <sz val="12"/>
        <color theme="0"/>
        <rFont val="AvantGarde Bk BT"/>
        <family val="2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</si>
</sst>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</numFmts>
  <fonts count="42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48"/>
      <name val="Lucida Sans"/>
      <family val="2"/>
    </font>
    <font>
      <b/>
      <sz val="11"/>
      <color theme="0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1"/>
      <name val="AvantGarde Bk BT"/>
      <family val="2"/>
    </font>
    <font>
      <b/>
      <sz val="11"/>
      <color theme="1"/>
      <name val="AvantGarde Bk BT"/>
      <family val="2"/>
    </font>
    <font>
      <b/>
      <sz val="14"/>
      <color theme="1"/>
      <name val="AvantGarde Bk BT"/>
      <family val="2"/>
    </font>
    <font>
      <b/>
      <sz val="11"/>
      <color rgb="FF5A4B29"/>
      <name val="AvantGarde Bk BT"/>
      <family val="2"/>
    </font>
    <font>
      <b/>
      <sz val="11"/>
      <color theme="0"/>
      <name val="AvantGarde Bk BT"/>
      <family val="2"/>
    </font>
    <font>
      <b/>
      <sz val="12"/>
      <color rgb="FF5A4B29"/>
      <name val="AvantGarde Bk BT"/>
      <family val="2"/>
    </font>
    <font>
      <b/>
      <sz val="12"/>
      <color theme="1"/>
      <name val="AvantGarde Bk BT"/>
      <family val="2"/>
    </font>
    <font>
      <b/>
      <vertAlign val="subscript"/>
      <sz val="12"/>
      <color rgb="FF5A4B29"/>
      <name val="AvantGarde Bk BT"/>
      <family val="2"/>
    </font>
    <font>
      <b/>
      <sz val="12"/>
      <color theme="0"/>
      <name val="AvantGarde Bk BT"/>
      <family val="2"/>
    </font>
    <font>
      <b/>
      <vertAlign val="subscript"/>
      <sz val="12"/>
      <color theme="0"/>
      <name val="AvantGarde Bk BT"/>
      <family val="2"/>
    </font>
    <font>
      <sz val="11"/>
      <color rgb="FF5A4B29"/>
      <name val="AvantGarde Bk BT"/>
      <family val="2"/>
    </font>
    <font>
      <sz val="12"/>
      <color rgb="FF5A4B29"/>
      <name val="AvantGarde Bk BT"/>
      <family val="2"/>
    </font>
    <font>
      <sz val="12"/>
      <color theme="1"/>
      <name val="AvantGarde Bk BT"/>
      <family val="2"/>
    </font>
    <font>
      <sz val="12"/>
      <color theme="0"/>
      <name val="AvantGarde Bk BT"/>
      <family val="2"/>
    </font>
    <font>
      <b/>
      <sz val="12"/>
      <color rgb="FFFF0000"/>
      <name val="AvantGarde Bk BT"/>
      <family val="2"/>
    </font>
    <font>
      <b/>
      <sz val="11"/>
      <color rgb="FF5A4B29"/>
      <name val="Calibri"/>
      <family val="2"/>
      <charset val="1"/>
      <scheme val="minor"/>
    </font>
    <font>
      <b/>
      <sz val="12"/>
      <color rgb="FF5A4B29"/>
      <name val="AvantGarde Bk BT"/>
      <family val="2"/>
      <charset val="1"/>
    </font>
    <font>
      <b/>
      <sz val="12"/>
      <color theme="1"/>
      <name val="AvantGarde Bk BT"/>
      <family val="2"/>
      <charset val="1"/>
    </font>
    <font>
      <b/>
      <sz val="11"/>
      <color rgb="FF5A4B29"/>
      <name val="Calisto MT"/>
      <family val="1"/>
      <charset val="1"/>
    </font>
    <font>
      <b/>
      <sz val="11"/>
      <color theme="1"/>
      <name val="Calisto MT"/>
      <family val="1"/>
      <charset val="1"/>
    </font>
    <font>
      <b/>
      <sz val="12"/>
      <color theme="0"/>
      <name val="AvantGarde Bk BT"/>
      <family val="2"/>
      <charset val="1"/>
    </font>
    <font>
      <b/>
      <sz val="11"/>
      <color theme="0"/>
      <name val="Calisto MT"/>
      <family val="1"/>
      <charset val="1"/>
    </font>
    <font>
      <b/>
      <u/>
      <sz val="11"/>
      <color rgb="FF733F2C"/>
      <name val="Calibri"/>
      <family val="2"/>
      <scheme val="minor"/>
    </font>
    <font>
      <b/>
      <sz val="11"/>
      <color rgb="FF733F2C"/>
      <name val="Calibri"/>
      <family val="2"/>
      <scheme val="minor"/>
    </font>
    <font>
      <sz val="11"/>
      <color rgb="FF000000"/>
      <name val="Arial"/>
      <family val="2"/>
    </font>
    <font>
      <sz val="8"/>
      <name val="Calibri"/>
      <family val="2"/>
      <charset val="1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color theme="0"/>
      <name val="AvantGarde Bk BT"/>
      <family val="2"/>
      <charset val="1"/>
    </font>
    <font>
      <b/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2"/>
      <color theme="1"/>
      <name val="LEMON MILK"/>
      <family val="3"/>
    </font>
    <font>
      <b/>
      <sz val="36"/>
      <color theme="0"/>
      <name val="LEMON MILK"/>
      <family val="3"/>
    </font>
    <font>
      <b/>
      <i/>
      <u/>
      <sz val="11"/>
      <color rgb="FF733F2C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ADF7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6552"/>
        <bgColor indexed="64"/>
      </patternFill>
    </fill>
    <fill>
      <patternFill patternType="solid">
        <fgColor rgb="FFA8746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ADF78"/>
      </left>
      <right style="medium">
        <color rgb="FFFADF78"/>
      </right>
      <top style="medium">
        <color rgb="FFFADF78"/>
      </top>
      <bottom style="medium">
        <color rgb="FFFADF78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rgb="FF5A4B29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rgb="FF996552"/>
      </left>
      <right style="thin">
        <color rgb="FF996552"/>
      </right>
      <top style="thin">
        <color rgb="FF996552"/>
      </top>
      <bottom style="thin">
        <color rgb="FF99655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/>
    <xf numFmtId="165" fontId="0" fillId="0" borderId="1" xfId="1" applyNumberFormat="1" applyFont="1" applyBorder="1" applyAlignment="1">
      <alignment horizontal="center" vertical="center"/>
    </xf>
    <xf numFmtId="164" fontId="0" fillId="0" borderId="1" xfId="1" applyNumberFormat="1" applyFont="1" applyBorder="1" applyAlignment="1">
      <alignment horizontal="center" vertical="center"/>
    </xf>
    <xf numFmtId="165" fontId="0" fillId="0" borderId="1" xfId="1" applyNumberFormat="1" applyFont="1" applyBorder="1"/>
    <xf numFmtId="0" fontId="2" fillId="2" borderId="1" xfId="0" applyFont="1" applyFill="1" applyBorder="1" applyAlignment="1">
      <alignment horizontal="center" vertical="center"/>
    </xf>
    <xf numFmtId="43" fontId="0" fillId="0" borderId="1" xfId="1" applyFont="1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43" fontId="0" fillId="0" borderId="1" xfId="1" applyFont="1" applyBorder="1" applyAlignment="1">
      <alignment horizontal="center" vertical="center"/>
    </xf>
    <xf numFmtId="43" fontId="0" fillId="0" borderId="1" xfId="1" applyFont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1" xfId="1" applyNumberFormat="1" applyFont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0" fillId="0" borderId="0" xfId="0" applyBorder="1"/>
    <xf numFmtId="0" fontId="0" fillId="0" borderId="0" xfId="0" applyBorder="1" applyAlignment="1">
      <alignment vertical="center"/>
    </xf>
    <xf numFmtId="0" fontId="9" fillId="0" borderId="0" xfId="0" applyFont="1" applyFill="1" applyBorder="1"/>
    <xf numFmtId="0" fontId="0" fillId="0" borderId="0" xfId="0" applyFill="1"/>
    <xf numFmtId="0" fontId="9" fillId="0" borderId="0" xfId="0" applyFont="1" applyFill="1"/>
    <xf numFmtId="0" fontId="19" fillId="0" borderId="0" xfId="0" applyFont="1" applyFill="1" applyBorder="1"/>
    <xf numFmtId="0" fontId="19" fillId="0" borderId="0" xfId="0" applyFont="1" applyFill="1"/>
    <xf numFmtId="0" fontId="4" fillId="0" borderId="0" xfId="0" applyFont="1" applyBorder="1" applyAlignment="1">
      <alignment horizontal="center"/>
    </xf>
    <xf numFmtId="0" fontId="21" fillId="0" borderId="0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24" fillId="0" borderId="0" xfId="0" applyFont="1" applyBorder="1"/>
    <xf numFmtId="0" fontId="8" fillId="0" borderId="0" xfId="0" applyFont="1" applyBorder="1"/>
    <xf numFmtId="0" fontId="24" fillId="0" borderId="0" xfId="0" applyFont="1"/>
    <xf numFmtId="0" fontId="8" fillId="0" borderId="0" xfId="0" applyFont="1"/>
    <xf numFmtId="0" fontId="7" fillId="0" borderId="0" xfId="0" applyFont="1" applyBorder="1"/>
    <xf numFmtId="0" fontId="7" fillId="0" borderId="0" xfId="0" applyFont="1"/>
    <xf numFmtId="4" fontId="20" fillId="3" borderId="4" xfId="0" applyNumberFormat="1" applyFont="1" applyFill="1" applyBorder="1" applyAlignment="1" applyProtection="1">
      <alignment horizontal="center" vertical="center"/>
      <protection locked="0"/>
    </xf>
    <xf numFmtId="4" fontId="20" fillId="3" borderId="5" xfId="0" applyNumberFormat="1" applyFont="1" applyFill="1" applyBorder="1" applyAlignment="1" applyProtection="1">
      <alignment horizontal="center" vertical="center"/>
      <protection locked="0"/>
    </xf>
    <xf numFmtId="4" fontId="20" fillId="3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0" fontId="0" fillId="0" borderId="0" xfId="0" applyBorder="1" applyProtection="1"/>
    <xf numFmtId="0" fontId="0" fillId="0" borderId="0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2" fillId="0" borderId="0" xfId="0" applyFont="1" applyBorder="1" applyAlignment="1" applyProtection="1">
      <alignment horizontal="center"/>
    </xf>
    <xf numFmtId="0" fontId="10" fillId="0" borderId="0" xfId="0" applyFont="1" applyBorder="1" applyProtection="1"/>
    <xf numFmtId="0" fontId="2" fillId="0" borderId="0" xfId="0" applyFont="1" applyAlignment="1" applyProtection="1">
      <alignment horizontal="center"/>
    </xf>
    <xf numFmtId="0" fontId="10" fillId="0" borderId="0" xfId="0" applyFont="1" applyProtection="1"/>
    <xf numFmtId="0" fontId="26" fillId="5" borderId="0" xfId="0" applyFont="1" applyFill="1" applyBorder="1" applyAlignment="1">
      <alignment vertical="center"/>
    </xf>
    <xf numFmtId="0" fontId="21" fillId="5" borderId="0" xfId="0" applyFont="1" applyFill="1" applyBorder="1" applyAlignment="1">
      <alignment vertical="center"/>
    </xf>
    <xf numFmtId="0" fontId="15" fillId="5" borderId="0" xfId="0" applyFont="1" applyFill="1" applyBorder="1" applyAlignment="1">
      <alignment vertical="center"/>
    </xf>
    <xf numFmtId="0" fontId="31" fillId="0" borderId="0" xfId="0" applyFont="1"/>
    <xf numFmtId="0" fontId="2" fillId="6" borderId="0" xfId="0" applyFont="1" applyFill="1" applyAlignment="1" applyProtection="1">
      <alignment horizontal="center"/>
    </xf>
    <xf numFmtId="0" fontId="10" fillId="6" borderId="0" xfId="0" applyFont="1" applyFill="1" applyProtection="1"/>
    <xf numFmtId="0" fontId="2" fillId="6" borderId="0" xfId="0" applyFont="1" applyFill="1" applyBorder="1" applyAlignment="1" applyProtection="1">
      <alignment horizontal="center"/>
    </xf>
    <xf numFmtId="0" fontId="10" fillId="6" borderId="0" xfId="0" applyFont="1" applyFill="1" applyBorder="1" applyProtection="1"/>
    <xf numFmtId="0" fontId="10" fillId="6" borderId="0" xfId="0" applyFont="1" applyFill="1" applyBorder="1" applyAlignment="1" applyProtection="1"/>
    <xf numFmtId="0" fontId="4" fillId="6" borderId="0" xfId="0" applyFont="1" applyFill="1" applyBorder="1" applyAlignment="1" applyProtection="1">
      <alignment horizontal="center" vertical="center"/>
    </xf>
    <xf numFmtId="0" fontId="2" fillId="6" borderId="0" xfId="0" applyFont="1" applyFill="1" applyBorder="1" applyAlignment="1" applyProtection="1">
      <alignment horizontal="center" vertical="center"/>
    </xf>
    <xf numFmtId="0" fontId="0" fillId="6" borderId="0" xfId="0" applyFill="1" applyProtection="1"/>
    <xf numFmtId="0" fontId="24" fillId="6" borderId="0" xfId="0" applyFont="1" applyFill="1" applyBorder="1"/>
    <xf numFmtId="0" fontId="8" fillId="6" borderId="0" xfId="0" applyFont="1" applyFill="1" applyBorder="1"/>
    <xf numFmtId="0" fontId="7" fillId="6" borderId="0" xfId="0" applyFont="1" applyFill="1" applyBorder="1"/>
    <xf numFmtId="0" fontId="0" fillId="6" borderId="0" xfId="0" applyFill="1"/>
    <xf numFmtId="0" fontId="24" fillId="6" borderId="0" xfId="0" applyFont="1" applyFill="1" applyBorder="1" applyAlignment="1"/>
    <xf numFmtId="0" fontId="8" fillId="6" borderId="0" xfId="0" applyFont="1" applyFill="1" applyBorder="1" applyAlignment="1"/>
    <xf numFmtId="0" fontId="7" fillId="6" borderId="0" xfId="0" applyFont="1" applyFill="1" applyBorder="1" applyAlignment="1"/>
    <xf numFmtId="0" fontId="4" fillId="6" borderId="0" xfId="0" applyFont="1" applyFill="1" applyBorder="1" applyAlignment="1">
      <alignment horizontal="center"/>
    </xf>
    <xf numFmtId="0" fontId="29" fillId="6" borderId="0" xfId="0" applyFont="1" applyFill="1" applyBorder="1" applyAlignment="1">
      <alignment vertical="center"/>
    </xf>
    <xf numFmtId="0" fontId="21" fillId="6" borderId="0" xfId="0" applyFont="1" applyFill="1" applyAlignment="1">
      <alignment vertical="center"/>
    </xf>
    <xf numFmtId="0" fontId="30" fillId="6" borderId="0" xfId="0" applyFont="1" applyFill="1" applyBorder="1" applyAlignment="1">
      <alignment vertical="center"/>
    </xf>
    <xf numFmtId="0" fontId="0" fillId="6" borderId="0" xfId="0" applyFill="1" applyAlignment="1">
      <alignment vertical="center"/>
    </xf>
    <xf numFmtId="0" fontId="26" fillId="6" borderId="0" xfId="0" applyFont="1" applyFill="1" applyBorder="1" applyAlignment="1">
      <alignment vertical="center"/>
    </xf>
    <xf numFmtId="0" fontId="28" fillId="6" borderId="0" xfId="0" applyFont="1" applyFill="1" applyBorder="1" applyAlignment="1">
      <alignment vertical="center"/>
    </xf>
    <xf numFmtId="0" fontId="4" fillId="6" borderId="0" xfId="0" applyFont="1" applyFill="1" applyBorder="1" applyAlignment="1">
      <alignment horizontal="center" vertical="center"/>
    </xf>
    <xf numFmtId="0" fontId="27" fillId="6" borderId="0" xfId="0" applyFont="1" applyFill="1" applyBorder="1" applyAlignment="1">
      <alignment vertical="center"/>
    </xf>
    <xf numFmtId="0" fontId="0" fillId="6" borderId="0" xfId="0" applyFill="1" applyBorder="1"/>
    <xf numFmtId="0" fontId="19" fillId="6" borderId="0" xfId="0" applyFont="1" applyFill="1" applyBorder="1"/>
    <xf numFmtId="0" fontId="9" fillId="6" borderId="0" xfId="0" applyFont="1" applyFill="1" applyBorder="1"/>
    <xf numFmtId="0" fontId="12" fillId="6" borderId="0" xfId="0" applyFont="1" applyFill="1" applyBorder="1" applyAlignment="1"/>
    <xf numFmtId="0" fontId="10" fillId="6" borderId="0" xfId="0" applyFont="1" applyFill="1" applyBorder="1" applyAlignment="1"/>
    <xf numFmtId="0" fontId="0" fillId="6" borderId="0" xfId="0" applyFill="1" applyBorder="1" applyAlignment="1">
      <alignment vertical="center"/>
    </xf>
    <xf numFmtId="0" fontId="14" fillId="6" borderId="0" xfId="0" applyFont="1" applyFill="1" applyBorder="1" applyAlignment="1">
      <alignment vertical="center"/>
    </xf>
    <xf numFmtId="0" fontId="20" fillId="6" borderId="0" xfId="0" applyFont="1" applyFill="1" applyBorder="1" applyAlignment="1">
      <alignment vertical="center"/>
    </xf>
    <xf numFmtId="0" fontId="1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14" fillId="6" borderId="0" xfId="0" applyFont="1" applyFill="1" applyBorder="1" applyAlignment="1">
      <alignment horizontal="center" vertical="center"/>
    </xf>
    <xf numFmtId="0" fontId="21" fillId="6" borderId="0" xfId="0" applyFont="1" applyFill="1" applyBorder="1" applyAlignment="1">
      <alignment vertical="center"/>
    </xf>
    <xf numFmtId="0" fontId="22" fillId="6" borderId="0" xfId="0" applyFont="1" applyFill="1" applyBorder="1" applyAlignment="1">
      <alignment vertical="center"/>
    </xf>
    <xf numFmtId="0" fontId="20" fillId="6" borderId="0" xfId="0" applyFont="1" applyFill="1"/>
    <xf numFmtId="0" fontId="20" fillId="6" borderId="0" xfId="0" applyFont="1" applyFill="1" applyBorder="1" applyAlignment="1">
      <alignment horizontal="center" vertical="center"/>
    </xf>
    <xf numFmtId="0" fontId="10" fillId="6" borderId="0" xfId="0" applyFont="1" applyFill="1" applyBorder="1" applyAlignment="1">
      <alignment vertical="center"/>
    </xf>
    <xf numFmtId="0" fontId="13" fillId="6" borderId="0" xfId="0" applyFont="1" applyFill="1" applyBorder="1" applyAlignment="1">
      <alignment vertical="center"/>
    </xf>
    <xf numFmtId="0" fontId="12" fillId="6" borderId="0" xfId="0" applyFont="1" applyFill="1" applyBorder="1" applyAlignment="1">
      <alignment vertical="center"/>
    </xf>
    <xf numFmtId="0" fontId="19" fillId="6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0" fontId="23" fillId="6" borderId="0" xfId="0" applyFont="1" applyFill="1" applyBorder="1" applyAlignment="1" applyProtection="1">
      <alignment horizontal="center" vertical="center"/>
      <protection locked="0"/>
    </xf>
    <xf numFmtId="0" fontId="25" fillId="4" borderId="2" xfId="0" applyFont="1" applyFill="1" applyBorder="1" applyAlignment="1" applyProtection="1">
      <alignment vertical="center"/>
      <protection locked="0"/>
    </xf>
    <xf numFmtId="0" fontId="26" fillId="6" borderId="0" xfId="0" applyFont="1" applyFill="1" applyBorder="1" applyAlignment="1" applyProtection="1">
      <alignment horizontal="center" vertical="center"/>
      <protection locked="0"/>
    </xf>
    <xf numFmtId="0" fontId="25" fillId="3" borderId="3" xfId="0" applyFont="1" applyFill="1" applyBorder="1" applyAlignment="1" applyProtection="1">
      <alignment horizontal="center" vertical="center"/>
      <protection locked="0"/>
    </xf>
    <xf numFmtId="0" fontId="25" fillId="6" borderId="0" xfId="0" applyFont="1" applyFill="1" applyBorder="1" applyAlignment="1" applyProtection="1">
      <alignment vertical="center"/>
      <protection locked="0"/>
    </xf>
    <xf numFmtId="0" fontId="26" fillId="6" borderId="0" xfId="0" applyFont="1" applyFill="1" applyBorder="1" applyAlignment="1" applyProtection="1">
      <alignment vertical="center"/>
      <protection locked="0"/>
    </xf>
    <xf numFmtId="0" fontId="25" fillId="6" borderId="0" xfId="0" applyFont="1" applyFill="1" applyBorder="1" applyAlignment="1" applyProtection="1">
      <alignment horizontal="center" vertical="center"/>
      <protection locked="0"/>
    </xf>
    <xf numFmtId="0" fontId="25" fillId="4" borderId="6" xfId="0" applyFont="1" applyFill="1" applyBorder="1" applyAlignment="1" applyProtection="1">
      <alignment vertical="center"/>
      <protection locked="0"/>
    </xf>
    <xf numFmtId="0" fontId="14" fillId="4" borderId="6" xfId="0" applyFont="1" applyFill="1" applyBorder="1" applyAlignment="1" applyProtection="1">
      <alignment vertical="center"/>
      <protection locked="0"/>
    </xf>
    <xf numFmtId="3" fontId="25" fillId="3" borderId="3" xfId="1" applyNumberFormat="1" applyFont="1" applyFill="1" applyBorder="1" applyAlignment="1" applyProtection="1">
      <alignment horizontal="center" vertical="center"/>
      <protection locked="0"/>
    </xf>
    <xf numFmtId="4" fontId="25" fillId="3" borderId="4" xfId="0" applyNumberFormat="1" applyFont="1" applyFill="1" applyBorder="1" applyAlignment="1" applyProtection="1">
      <alignment horizontal="center" vertical="center"/>
      <protection locked="0"/>
    </xf>
    <xf numFmtId="4" fontId="25" fillId="3" borderId="5" xfId="0" applyNumberFormat="1" applyFont="1" applyFill="1" applyBorder="1" applyAlignment="1" applyProtection="1">
      <alignment horizontal="center" vertical="center"/>
      <protection locked="0"/>
    </xf>
    <xf numFmtId="4" fontId="25" fillId="3" borderId="3" xfId="0" applyNumberFormat="1" applyFont="1" applyFill="1" applyBorder="1" applyAlignment="1" applyProtection="1">
      <alignment horizontal="center" vertical="center"/>
      <protection locked="0"/>
    </xf>
    <xf numFmtId="0" fontId="15" fillId="6" borderId="0" xfId="0" applyFont="1" applyFill="1" applyBorder="1" applyAlignment="1" applyProtection="1">
      <alignment horizontal="center" vertical="center"/>
      <protection locked="0"/>
    </xf>
    <xf numFmtId="0" fontId="14" fillId="3" borderId="3" xfId="0" applyFont="1" applyFill="1" applyBorder="1" applyAlignment="1" applyProtection="1">
      <alignment horizontal="center" vertical="center"/>
      <protection locked="0"/>
    </xf>
    <xf numFmtId="0" fontId="15" fillId="5" borderId="0" xfId="0" applyFont="1" applyFill="1" applyBorder="1" applyAlignment="1" applyProtection="1">
      <alignment vertical="center"/>
      <protection locked="0"/>
    </xf>
    <xf numFmtId="0" fontId="15" fillId="6" borderId="0" xfId="0" applyFont="1" applyFill="1" applyBorder="1" applyAlignment="1" applyProtection="1">
      <alignment vertical="center"/>
      <protection locked="0"/>
    </xf>
    <xf numFmtId="0" fontId="0" fillId="6" borderId="0" xfId="0" applyFill="1" applyAlignment="1" applyProtection="1">
      <alignment vertical="center"/>
      <protection locked="0"/>
    </xf>
    <xf numFmtId="0" fontId="14" fillId="6" borderId="0" xfId="0" applyFont="1" applyFill="1" applyBorder="1" applyAlignment="1" applyProtection="1">
      <alignment horizontal="center" vertical="center"/>
      <protection locked="0"/>
    </xf>
    <xf numFmtId="3" fontId="14" fillId="3" borderId="3" xfId="0" applyNumberFormat="1" applyFont="1" applyFill="1" applyBorder="1" applyAlignment="1" applyProtection="1">
      <alignment horizontal="center" vertical="center"/>
      <protection locked="0"/>
    </xf>
    <xf numFmtId="0" fontId="17" fillId="6" borderId="0" xfId="0" applyFont="1" applyFill="1" applyBorder="1" applyAlignment="1" applyProtection="1">
      <alignment vertical="center"/>
      <protection locked="0"/>
    </xf>
    <xf numFmtId="0" fontId="14" fillId="6" borderId="0" xfId="0" applyFont="1" applyFill="1" applyBorder="1" applyAlignment="1" applyProtection="1">
      <alignment vertical="center"/>
      <protection locked="0"/>
    </xf>
    <xf numFmtId="4" fontId="14" fillId="3" borderId="4" xfId="0" applyNumberFormat="1" applyFont="1" applyFill="1" applyBorder="1" applyAlignment="1" applyProtection="1">
      <alignment horizontal="center" vertical="center"/>
      <protection locked="0"/>
    </xf>
    <xf numFmtId="4" fontId="14" fillId="3" borderId="5" xfId="0" applyNumberFormat="1" applyFont="1" applyFill="1" applyBorder="1" applyAlignment="1" applyProtection="1">
      <alignment horizontal="center" vertical="center"/>
      <protection locked="0"/>
    </xf>
    <xf numFmtId="4" fontId="14" fillId="6" borderId="0" xfId="0" applyNumberFormat="1" applyFont="1" applyFill="1" applyBorder="1" applyAlignment="1" applyProtection="1">
      <alignment horizontal="center" vertical="center"/>
      <protection locked="0"/>
    </xf>
    <xf numFmtId="4" fontId="14" fillId="3" borderId="3" xfId="0" applyNumberFormat="1" applyFont="1" applyFill="1" applyBorder="1" applyAlignment="1" applyProtection="1">
      <alignment horizontal="center" vertical="center"/>
      <protection locked="0"/>
    </xf>
    <xf numFmtId="0" fontId="10" fillId="6" borderId="0" xfId="0" applyFont="1" applyFill="1" applyBorder="1" applyAlignment="1" applyProtection="1">
      <alignment vertical="center"/>
      <protection locked="0"/>
    </xf>
    <xf numFmtId="0" fontId="11" fillId="6" borderId="0" xfId="0" applyFont="1" applyFill="1" applyBorder="1" applyAlignment="1" applyProtection="1">
      <alignment vertical="center"/>
      <protection locked="0"/>
    </xf>
    <xf numFmtId="0" fontId="10" fillId="6" borderId="0" xfId="0" applyFont="1" applyFill="1" applyBorder="1" applyProtection="1">
      <protection locked="0"/>
    </xf>
    <xf numFmtId="0" fontId="0" fillId="6" borderId="0" xfId="0" applyFill="1" applyProtection="1">
      <protection locked="0"/>
    </xf>
    <xf numFmtId="0" fontId="32" fillId="0" borderId="0" xfId="0" quotePrefix="1" applyFont="1"/>
    <xf numFmtId="0" fontId="2" fillId="0" borderId="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top"/>
    </xf>
    <xf numFmtId="0" fontId="33" fillId="0" borderId="7" xfId="0" applyFont="1" applyBorder="1" applyAlignment="1">
      <alignment horizontal="center" vertical="top" wrapText="1"/>
    </xf>
    <xf numFmtId="0" fontId="33" fillId="0" borderId="7" xfId="0" applyFont="1" applyBorder="1" applyAlignment="1">
      <alignment horizontal="left" vertical="top"/>
    </xf>
    <xf numFmtId="0" fontId="33" fillId="0" borderId="8" xfId="0" applyFont="1" applyBorder="1" applyAlignment="1">
      <alignment vertical="top"/>
    </xf>
    <xf numFmtId="0" fontId="0" fillId="0" borderId="1" xfId="0" applyFill="1" applyBorder="1" applyAlignment="1">
      <alignment horizontal="center"/>
    </xf>
    <xf numFmtId="0" fontId="36" fillId="6" borderId="0" xfId="0" applyFont="1" applyFill="1" applyBorder="1" applyAlignment="1">
      <alignment vertical="center"/>
    </xf>
    <xf numFmtId="4" fontId="25" fillId="3" borderId="3" xfId="1" applyNumberFormat="1" applyFont="1" applyFill="1" applyBorder="1" applyAlignment="1" applyProtection="1">
      <alignment horizontal="center" vertical="center"/>
      <protection locked="0"/>
    </xf>
    <xf numFmtId="43" fontId="4" fillId="0" borderId="0" xfId="1" applyFont="1" applyAlignment="1">
      <alignment horizontal="center"/>
    </xf>
    <xf numFmtId="0" fontId="25" fillId="3" borderId="3" xfId="0" applyFont="1" applyFill="1" applyBorder="1" applyAlignment="1" applyProtection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4" fillId="3" borderId="3" xfId="0" applyFont="1" applyFill="1" applyBorder="1" applyAlignment="1" applyProtection="1">
      <alignment horizontal="center" vertical="center"/>
    </xf>
    <xf numFmtId="0" fontId="0" fillId="7" borderId="0" xfId="0" applyFill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38" fillId="0" borderId="13" xfId="0" applyFont="1" applyFill="1" applyBorder="1" applyAlignment="1"/>
    <xf numFmtId="0" fontId="0" fillId="0" borderId="13" xfId="0" applyFill="1" applyBorder="1"/>
    <xf numFmtId="0" fontId="37" fillId="0" borderId="0" xfId="0" applyFont="1" applyFill="1" applyBorder="1"/>
    <xf numFmtId="0" fontId="0" fillId="0" borderId="14" xfId="0" applyBorder="1"/>
    <xf numFmtId="0" fontId="0" fillId="0" borderId="15" xfId="0" applyFill="1" applyBorder="1"/>
    <xf numFmtId="0" fontId="0" fillId="0" borderId="16" xfId="0" applyFill="1" applyBorder="1"/>
    <xf numFmtId="0" fontId="39" fillId="0" borderId="0" xfId="0" applyFont="1" applyFill="1" applyBorder="1"/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40" fillId="7" borderId="17" xfId="0" applyFont="1" applyFill="1" applyBorder="1" applyAlignment="1">
      <alignment horizontal="center" vertical="center"/>
    </xf>
    <xf numFmtId="0" fontId="40" fillId="7" borderId="18" xfId="0" applyFont="1" applyFill="1" applyBorder="1" applyAlignment="1">
      <alignment horizontal="center" vertical="center"/>
    </xf>
    <xf numFmtId="0" fontId="40" fillId="7" borderId="19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2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7462"/>
      <color rgb="FF733F2C"/>
      <color rgb="FF996552"/>
      <color rgb="FF583022"/>
      <color rgb="FF824E3B"/>
      <color rgb="FFB24D39"/>
      <color rgb="FF915D4A"/>
      <color rgb="FF996633"/>
      <color rgb="FF82B922"/>
      <color rgb="FFA2E8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microsoft.com/office/2007/relationships/hdphoto" Target="../media/hdphoto1.wdp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microsoft.com/office/2007/relationships/hdphoto" Target="../media/hdphoto1.wdp"/><Relationship Id="rId3" Type="http://schemas.openxmlformats.org/officeDocument/2006/relationships/image" Target="../media/image1.png"/><Relationship Id="rId7" Type="http://schemas.openxmlformats.org/officeDocument/2006/relationships/image" Target="../media/image15.png"/><Relationship Id="rId12" Type="http://schemas.openxmlformats.org/officeDocument/2006/relationships/image" Target="../media/image4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4.png"/><Relationship Id="rId11" Type="http://schemas.openxmlformats.org/officeDocument/2006/relationships/image" Target="../media/image3.png"/><Relationship Id="rId5" Type="http://schemas.openxmlformats.org/officeDocument/2006/relationships/image" Target="../media/image13.pn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13" Type="http://schemas.openxmlformats.org/officeDocument/2006/relationships/image" Target="../media/image16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microsoft.com/office/2007/relationships/hdphoto" Target="../media/hdphoto1.wdp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2.png"/><Relationship Id="rId11" Type="http://schemas.openxmlformats.org/officeDocument/2006/relationships/image" Target="../media/image4.png"/><Relationship Id="rId5" Type="http://schemas.openxmlformats.org/officeDocument/2006/relationships/image" Target="../media/image15.png"/><Relationship Id="rId10" Type="http://schemas.openxmlformats.org/officeDocument/2006/relationships/image" Target="../media/image3.png"/><Relationship Id="rId4" Type="http://schemas.openxmlformats.org/officeDocument/2006/relationships/image" Target="../media/image14.png"/><Relationship Id="rId9" Type="http://schemas.openxmlformats.org/officeDocument/2006/relationships/image" Target="../media/image18.png"/><Relationship Id="rId14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16.png"/><Relationship Id="rId3" Type="http://schemas.openxmlformats.org/officeDocument/2006/relationships/image" Target="../media/image12.png"/><Relationship Id="rId7" Type="http://schemas.openxmlformats.org/officeDocument/2006/relationships/image" Target="../media/image1.png"/><Relationship Id="rId12" Type="http://schemas.microsoft.com/office/2007/relationships/hdphoto" Target="../media/hdphoto1.wdp"/><Relationship Id="rId2" Type="http://schemas.openxmlformats.org/officeDocument/2006/relationships/image" Target="../media/image10.png"/><Relationship Id="rId1" Type="http://schemas.openxmlformats.org/officeDocument/2006/relationships/image" Target="../media/image11.png"/><Relationship Id="rId6" Type="http://schemas.openxmlformats.org/officeDocument/2006/relationships/image" Target="../media/image15.png"/><Relationship Id="rId11" Type="http://schemas.openxmlformats.org/officeDocument/2006/relationships/image" Target="../media/image4.png"/><Relationship Id="rId5" Type="http://schemas.openxmlformats.org/officeDocument/2006/relationships/image" Target="../media/image14.png"/><Relationship Id="rId10" Type="http://schemas.openxmlformats.org/officeDocument/2006/relationships/image" Target="../media/image3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2.png"/><Relationship Id="rId7" Type="http://schemas.openxmlformats.org/officeDocument/2006/relationships/image" Target="../media/image17.png"/><Relationship Id="rId2" Type="http://schemas.openxmlformats.org/officeDocument/2006/relationships/image" Target="../media/image10.png"/><Relationship Id="rId1" Type="http://schemas.openxmlformats.org/officeDocument/2006/relationships/image" Target="../media/image11.png"/><Relationship Id="rId6" Type="http://schemas.openxmlformats.org/officeDocument/2006/relationships/image" Target="../media/image1.png"/><Relationship Id="rId11" Type="http://schemas.openxmlformats.org/officeDocument/2006/relationships/image" Target="../media/image19.png"/><Relationship Id="rId5" Type="http://schemas.openxmlformats.org/officeDocument/2006/relationships/image" Target="../media/image15.png"/><Relationship Id="rId10" Type="http://schemas.openxmlformats.org/officeDocument/2006/relationships/image" Target="../media/image16.png"/><Relationship Id="rId4" Type="http://schemas.openxmlformats.org/officeDocument/2006/relationships/image" Target="../media/image13.png"/><Relationship Id="rId9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12" Type="http://schemas.openxmlformats.org/officeDocument/2006/relationships/image" Target="../media/image32.png"/><Relationship Id="rId2" Type="http://schemas.openxmlformats.org/officeDocument/2006/relationships/image" Target="../media/image22.png"/><Relationship Id="rId16" Type="http://schemas.openxmlformats.org/officeDocument/2006/relationships/image" Target="../media/image1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11" Type="http://schemas.openxmlformats.org/officeDocument/2006/relationships/image" Target="../media/image31.png"/><Relationship Id="rId5" Type="http://schemas.openxmlformats.org/officeDocument/2006/relationships/image" Target="../media/image25.png"/><Relationship Id="rId15" Type="http://schemas.openxmlformats.org/officeDocument/2006/relationships/image" Target="../media/image35.png"/><Relationship Id="rId10" Type="http://schemas.openxmlformats.org/officeDocument/2006/relationships/image" Target="../media/image30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Relationship Id="rId14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2658140</xdr:colOff>
      <xdr:row>0</xdr:row>
      <xdr:rowOff>62024</xdr:rowOff>
    </xdr:from>
    <xdr:to>
      <xdr:col>6</xdr:col>
      <xdr:colOff>230373</xdr:colOff>
      <xdr:row>12</xdr:row>
      <xdr:rowOff>65746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62A17FD6-ABB8-1A00-19B4-8CABD151C05B}"/>
            </a:ext>
          </a:extLst>
        </xdr:cNvPr>
        <xdr:cNvGrpSpPr/>
      </xdr:nvGrpSpPr>
      <xdr:grpSpPr>
        <a:xfrm>
          <a:off x="2658140" y="62024"/>
          <a:ext cx="11430000" cy="6028838"/>
          <a:chOff x="2348023" y="12041370"/>
          <a:chExt cx="12528699" cy="6120000"/>
        </a:xfrm>
        <a:solidFill>
          <a:srgbClr val="824E3B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grpSpPr>
      <xdr:sp macro="" textlink="">
        <xdr:nvSpPr>
          <xdr:cNvPr id="21" name="Rectangle: Diagonal Corners Snipped 20">
            <a:extLst>
              <a:ext uri="{FF2B5EF4-FFF2-40B4-BE49-F238E27FC236}">
                <a16:creationId xmlns:a16="http://schemas.microsoft.com/office/drawing/2014/main" id="{647CAA25-4616-7C4E-4834-B2E68E0ECA3A}"/>
              </a:ext>
            </a:extLst>
          </xdr:cNvPr>
          <xdr:cNvSpPr/>
        </xdr:nvSpPr>
        <xdr:spPr>
          <a:xfrm>
            <a:off x="2348024" y="12041370"/>
            <a:ext cx="12528698" cy="6120000"/>
          </a:xfrm>
          <a:prstGeom prst="snip2DiagRect">
            <a:avLst>
              <a:gd name="adj1" fmla="val 0"/>
              <a:gd name="adj2" fmla="val 12468"/>
            </a:avLst>
          </a:prstGeom>
          <a:solidFill>
            <a:srgbClr val="A8746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2" name="Oval 21">
            <a:extLst>
              <a:ext uri="{FF2B5EF4-FFF2-40B4-BE49-F238E27FC236}">
                <a16:creationId xmlns:a16="http://schemas.microsoft.com/office/drawing/2014/main" id="{A9683FDC-BAB5-B28C-6C44-34682AD9736C}"/>
              </a:ext>
            </a:extLst>
          </xdr:cNvPr>
          <xdr:cNvSpPr/>
        </xdr:nvSpPr>
        <xdr:spPr>
          <a:xfrm>
            <a:off x="2348023" y="16719697"/>
            <a:ext cx="1440000" cy="1440000"/>
          </a:xfrm>
          <a:prstGeom prst="ellipse">
            <a:avLst/>
          </a:prstGeom>
          <a:solidFill>
            <a:srgbClr val="A8746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0" name="Oval 29">
            <a:extLst>
              <a:ext uri="{FF2B5EF4-FFF2-40B4-BE49-F238E27FC236}">
                <a16:creationId xmlns:a16="http://schemas.microsoft.com/office/drawing/2014/main" id="{CBC1923C-55D0-4D1B-8273-20B4499DD9A3}"/>
              </a:ext>
            </a:extLst>
          </xdr:cNvPr>
          <xdr:cNvSpPr/>
        </xdr:nvSpPr>
        <xdr:spPr>
          <a:xfrm>
            <a:off x="13422745" y="12041371"/>
            <a:ext cx="1439999" cy="1440000"/>
          </a:xfrm>
          <a:prstGeom prst="ellipse">
            <a:avLst/>
          </a:prstGeom>
          <a:solidFill>
            <a:srgbClr val="A8746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4</xdr:col>
      <xdr:colOff>2773326</xdr:colOff>
      <xdr:row>1</xdr:row>
      <xdr:rowOff>0</xdr:rowOff>
    </xdr:from>
    <xdr:to>
      <xdr:col>5</xdr:col>
      <xdr:colOff>744278</xdr:colOff>
      <xdr:row>2</xdr:row>
      <xdr:rowOff>521738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1935" b="25161"/>
        <a:stretch/>
      </xdr:blipFill>
      <xdr:spPr>
        <a:xfrm>
          <a:off x="12147698" y="186070"/>
          <a:ext cx="1337929" cy="707808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2</xdr:col>
      <xdr:colOff>354421</xdr:colOff>
      <xdr:row>6</xdr:row>
      <xdr:rowOff>336697</xdr:rowOff>
    </xdr:from>
    <xdr:to>
      <xdr:col>2</xdr:col>
      <xdr:colOff>1794421</xdr:colOff>
      <xdr:row>8</xdr:row>
      <xdr:rowOff>339631</xdr:rowOff>
    </xdr:to>
    <xdr:pic macro="[0]!UIBahanBakar">
      <xdr:nvPicPr>
        <xdr:cNvPr id="8" name="Picture 7">
          <a:extLst>
            <a:ext uri="{FF2B5EF4-FFF2-40B4-BE49-F238E27FC236}">
              <a16:creationId xmlns:a16="http://schemas.microsoft.com/office/drawing/2014/main" id="{0A6F006C-833F-B04B-8EDA-460583958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677" y="3579627"/>
          <a:ext cx="1440000" cy="1438330"/>
        </a:xfrm>
        <a:prstGeom prst="rect">
          <a:avLst/>
        </a:prstGeom>
        <a:noFill/>
        <a:ln>
          <a:noFill/>
        </a:ln>
        <a:effectLst/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3260655</xdr:colOff>
      <xdr:row>6</xdr:row>
      <xdr:rowOff>336697</xdr:rowOff>
    </xdr:from>
    <xdr:to>
      <xdr:col>3</xdr:col>
      <xdr:colOff>1333678</xdr:colOff>
      <xdr:row>8</xdr:row>
      <xdr:rowOff>339631</xdr:rowOff>
    </xdr:to>
    <xdr:pic macro="[0]!UIBiomassa">
      <xdr:nvPicPr>
        <xdr:cNvPr id="9" name="Picture 8">
          <a:extLst>
            <a:ext uri="{FF2B5EF4-FFF2-40B4-BE49-F238E27FC236}">
              <a16:creationId xmlns:a16="http://schemas.microsoft.com/office/drawing/2014/main" id="{8B8B706E-2E92-492A-28E7-E8B29D5CF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8911" y="3579627"/>
          <a:ext cx="1440000" cy="1438330"/>
        </a:xfrm>
        <a:prstGeom prst="rect">
          <a:avLst/>
        </a:prstGeom>
        <a:noFill/>
        <a:ln>
          <a:noFill/>
        </a:ln>
        <a:effectLst/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2729023</xdr:colOff>
      <xdr:row>6</xdr:row>
      <xdr:rowOff>345558</xdr:rowOff>
    </xdr:from>
    <xdr:to>
      <xdr:col>4</xdr:col>
      <xdr:colOff>802047</xdr:colOff>
      <xdr:row>8</xdr:row>
      <xdr:rowOff>348492</xdr:rowOff>
    </xdr:to>
    <xdr:pic macro="[0]!UITenagaListrik">
      <xdr:nvPicPr>
        <xdr:cNvPr id="11" name="Picture 10">
          <a:extLst>
            <a:ext uri="{FF2B5EF4-FFF2-40B4-BE49-F238E27FC236}">
              <a16:creationId xmlns:a16="http://schemas.microsoft.com/office/drawing/2014/main" id="{7FA65C96-0D37-4D5E-5DAC-DC6A8F1E3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4256" y="3588488"/>
          <a:ext cx="1440000" cy="1438330"/>
        </a:xfrm>
        <a:prstGeom prst="rect">
          <a:avLst/>
        </a:prstGeom>
        <a:noFill/>
        <a:ln>
          <a:noFill/>
        </a:ln>
        <a:effectLst/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160645</xdr:colOff>
      <xdr:row>8</xdr:row>
      <xdr:rowOff>469605</xdr:rowOff>
    </xdr:from>
    <xdr:ext cx="1865895" cy="67531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41F76B2-C848-4E53-23C8-4AA6A419F225}"/>
            </a:ext>
          </a:extLst>
        </xdr:cNvPr>
        <xdr:cNvSpPr txBox="1"/>
      </xdr:nvSpPr>
      <xdr:spPr>
        <a:xfrm>
          <a:off x="3128901" y="5147931"/>
          <a:ext cx="1865895" cy="6753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600" b="1">
              <a:solidFill>
                <a:schemeClr val="accent4">
                  <a:lumMod val="40000"/>
                  <a:lumOff val="60000"/>
                </a:schemeClr>
              </a:solidFill>
              <a:latin typeface="LEMON MILK" panose="00000500000000000000" pitchFamily="50" charset="0"/>
            </a:rPr>
            <a:t>BAHAN</a:t>
          </a:r>
          <a:r>
            <a:rPr lang="en-US" sz="1600" b="1" baseline="0">
              <a:solidFill>
                <a:schemeClr val="accent4">
                  <a:lumMod val="40000"/>
                  <a:lumOff val="60000"/>
                </a:schemeClr>
              </a:solidFill>
              <a:latin typeface="LEMON MILK" panose="00000500000000000000" pitchFamily="50" charset="0"/>
            </a:rPr>
            <a:t> BAKAR </a:t>
          </a:r>
        </a:p>
        <a:p>
          <a:pPr algn="ctr"/>
          <a:r>
            <a:rPr lang="en-US" sz="1600" b="1" baseline="0">
              <a:solidFill>
                <a:schemeClr val="accent4">
                  <a:lumMod val="40000"/>
                  <a:lumOff val="60000"/>
                </a:schemeClr>
              </a:solidFill>
              <a:latin typeface="LEMON MILK" panose="00000500000000000000" pitchFamily="50" charset="0"/>
            </a:rPr>
            <a:t>FOSSIL</a:t>
          </a:r>
          <a:endParaRPr lang="en-US" sz="1600" b="1">
            <a:solidFill>
              <a:schemeClr val="accent4">
                <a:lumMod val="40000"/>
                <a:lumOff val="60000"/>
              </a:schemeClr>
            </a:solidFill>
            <a:latin typeface="LEMON MILK" panose="00000500000000000000" pitchFamily="50" charset="0"/>
          </a:endParaRPr>
        </a:p>
      </xdr:txBody>
    </xdr:sp>
    <xdr:clientData/>
  </xdr:oneCellAnchor>
  <xdr:oneCellAnchor>
    <xdr:from>
      <xdr:col>2</xdr:col>
      <xdr:colOff>3315588</xdr:colOff>
      <xdr:row>8</xdr:row>
      <xdr:rowOff>471377</xdr:rowOff>
    </xdr:from>
    <xdr:ext cx="1333955" cy="384914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E031703D-51DB-4D0E-959B-877ED9F66F65}"/>
            </a:ext>
          </a:extLst>
        </xdr:cNvPr>
        <xdr:cNvSpPr txBox="1"/>
      </xdr:nvSpPr>
      <xdr:spPr>
        <a:xfrm>
          <a:off x="6283844" y="5149703"/>
          <a:ext cx="1333955" cy="3849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chemeClr val="accent4">
                  <a:lumMod val="40000"/>
                  <a:lumOff val="60000"/>
                </a:schemeClr>
              </a:solidFill>
              <a:latin typeface="LEMON MILK" panose="00000500000000000000" pitchFamily="50" charset="0"/>
            </a:rPr>
            <a:t>BIOMASSA</a:t>
          </a:r>
        </a:p>
      </xdr:txBody>
    </xdr:sp>
    <xdr:clientData/>
  </xdr:oneCellAnchor>
  <xdr:oneCellAnchor>
    <xdr:from>
      <xdr:col>3</xdr:col>
      <xdr:colOff>2898291</xdr:colOff>
      <xdr:row>8</xdr:row>
      <xdr:rowOff>460743</xdr:rowOff>
    </xdr:from>
    <xdr:ext cx="1161408" cy="67749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68282F2E-EBA3-4A9C-9CA3-35421176B732}"/>
            </a:ext>
          </a:extLst>
        </xdr:cNvPr>
        <xdr:cNvSpPr txBox="1"/>
      </xdr:nvSpPr>
      <xdr:spPr>
        <a:xfrm>
          <a:off x="9233524" y="5139069"/>
          <a:ext cx="1161408" cy="677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600" b="1">
              <a:solidFill>
                <a:schemeClr val="accent4">
                  <a:lumMod val="40000"/>
                  <a:lumOff val="60000"/>
                </a:schemeClr>
              </a:solidFill>
              <a:latin typeface="LEMON MILK" panose="00000500000000000000" pitchFamily="50" charset="0"/>
            </a:rPr>
            <a:t>TENAGA </a:t>
          </a:r>
        </a:p>
        <a:p>
          <a:pPr algn="ctr"/>
          <a:r>
            <a:rPr lang="en-US" sz="1600" b="1">
              <a:solidFill>
                <a:schemeClr val="accent4">
                  <a:lumMod val="40000"/>
                  <a:lumOff val="60000"/>
                </a:schemeClr>
              </a:solidFill>
              <a:latin typeface="LEMON MILK" panose="00000500000000000000" pitchFamily="50" charset="0"/>
            </a:rPr>
            <a:t>LISTRIK</a:t>
          </a:r>
        </a:p>
      </xdr:txBody>
    </xdr:sp>
    <xdr:clientData/>
  </xdr:oneCellAnchor>
  <xdr:twoCellAnchor editAs="oneCell">
    <xdr:from>
      <xdr:col>0</xdr:col>
      <xdr:colOff>2153094</xdr:colOff>
      <xdr:row>69</xdr:row>
      <xdr:rowOff>70884</xdr:rowOff>
    </xdr:from>
    <xdr:to>
      <xdr:col>1</xdr:col>
      <xdr:colOff>62025</xdr:colOff>
      <xdr:row>72</xdr:row>
      <xdr:rowOff>96788</xdr:rowOff>
    </xdr:to>
    <xdr:pic macro="[0]!EditMode">
      <xdr:nvPicPr>
        <xdr:cNvPr id="15" name="Picture 14">
          <a:extLst>
            <a:ext uri="{FF2B5EF4-FFF2-40B4-BE49-F238E27FC236}">
              <a16:creationId xmlns:a16="http://schemas.microsoft.com/office/drawing/2014/main" id="{9B527FF5-DEC2-4BDA-58FE-8AE39E0A0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3094" y="12608442"/>
          <a:ext cx="584791" cy="584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37214</xdr:colOff>
      <xdr:row>69</xdr:row>
      <xdr:rowOff>10633</xdr:rowOff>
    </xdr:from>
    <xdr:ext cx="825803" cy="57567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2F207BC8-40AF-4F68-9EBC-F981087E0C84}"/>
            </a:ext>
          </a:extLst>
        </xdr:cNvPr>
        <xdr:cNvSpPr txBox="1"/>
      </xdr:nvSpPr>
      <xdr:spPr>
        <a:xfrm>
          <a:off x="3005470" y="12548191"/>
          <a:ext cx="825803" cy="5756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/>
          <a:r>
            <a:rPr lang="en-US" sz="1600" b="1">
              <a:solidFill>
                <a:schemeClr val="tx1"/>
              </a:solidFill>
              <a:latin typeface="Lucida Sans" panose="020B0602030504020204" pitchFamily="34" charset="0"/>
            </a:rPr>
            <a:t>EDIT</a:t>
          </a:r>
        </a:p>
        <a:p>
          <a:pPr algn="l"/>
          <a:r>
            <a:rPr lang="en-US" sz="1600" b="1">
              <a:solidFill>
                <a:schemeClr val="tx1"/>
              </a:solidFill>
              <a:latin typeface="Lucida Sans" panose="020B0602030504020204" pitchFamily="34" charset="0"/>
            </a:rPr>
            <a:t>MODE</a:t>
          </a:r>
        </a:p>
      </xdr:txBody>
    </xdr:sp>
    <xdr:clientData/>
  </xdr:oneCellAnchor>
  <xdr:twoCellAnchor editAs="oneCell">
    <xdr:from>
      <xdr:col>1</xdr:col>
      <xdr:colOff>221511</xdr:colOff>
      <xdr:row>1</xdr:row>
      <xdr:rowOff>70883</xdr:rowOff>
    </xdr:from>
    <xdr:to>
      <xdr:col>2</xdr:col>
      <xdr:colOff>1905000</xdr:colOff>
      <xdr:row>2</xdr:row>
      <xdr:rowOff>474092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6DC746D-FA76-BDB9-810E-854134E9B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9534" y="256953"/>
          <a:ext cx="1975885" cy="589279"/>
        </a:xfrm>
        <a:prstGeom prst="rect">
          <a:avLst/>
        </a:prstGeom>
        <a:noFill/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1462434</xdr:colOff>
      <xdr:row>5</xdr:row>
      <xdr:rowOff>285304</xdr:rowOff>
    </xdr:from>
    <xdr:ext cx="1693028" cy="384914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B45EE2DF-4CB4-4DCD-89F6-BFF092AFA5BE}"/>
            </a:ext>
          </a:extLst>
        </xdr:cNvPr>
        <xdr:cNvSpPr txBox="1"/>
      </xdr:nvSpPr>
      <xdr:spPr>
        <a:xfrm>
          <a:off x="7797667" y="2810537"/>
          <a:ext cx="1693028" cy="3849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600" b="1">
              <a:solidFill>
                <a:schemeClr val="accent4">
                  <a:lumMod val="40000"/>
                  <a:lumOff val="60000"/>
                </a:schemeClr>
              </a:solidFill>
              <a:latin typeface="LEMON MILK" panose="00000500000000000000" pitchFamily="50" charset="0"/>
              <a:cs typeface="Aharoni" panose="02010803020104030203" pitchFamily="2" charset="-79"/>
            </a:rPr>
            <a:t>pilihan fitur</a:t>
          </a:r>
        </a:p>
      </xdr:txBody>
    </xdr:sp>
    <xdr:clientData/>
  </xdr:oneCellAnchor>
  <xdr:oneCellAnchor>
    <xdr:from>
      <xdr:col>4</xdr:col>
      <xdr:colOff>3269400</xdr:colOff>
      <xdr:row>11</xdr:row>
      <xdr:rowOff>21263</xdr:rowOff>
    </xdr:from>
    <xdr:ext cx="1184427" cy="238591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BB73949E-F984-4BEC-92AF-88C39CC59679}"/>
            </a:ext>
          </a:extLst>
        </xdr:cNvPr>
        <xdr:cNvSpPr txBox="1"/>
      </xdr:nvSpPr>
      <xdr:spPr>
        <a:xfrm>
          <a:off x="12971609" y="5860310"/>
          <a:ext cx="1184427" cy="2385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800">
              <a:solidFill>
                <a:srgbClr val="FADF78"/>
              </a:solidFill>
              <a:latin typeface="LEMON MILK" panose="00000500000000000000" pitchFamily="50" charset="0"/>
            </a:rPr>
            <a:t>© LVV BBKKP 2022</a:t>
          </a:r>
          <a:endParaRPr lang="en-US" sz="800" b="1">
            <a:solidFill>
              <a:srgbClr val="FADF78"/>
            </a:solidFill>
            <a:latin typeface="LEMON MILK" panose="00000500000000000000" pitchFamily="50" charset="0"/>
          </a:endParaRPr>
        </a:p>
      </xdr:txBody>
    </xdr:sp>
    <xdr:clientData/>
  </xdr:oneCellAnchor>
  <xdr:twoCellAnchor>
    <xdr:from>
      <xdr:col>2</xdr:col>
      <xdr:colOff>363277</xdr:colOff>
      <xdr:row>25</xdr:row>
      <xdr:rowOff>26581</xdr:rowOff>
    </xdr:from>
    <xdr:to>
      <xdr:col>5</xdr:col>
      <xdr:colOff>478465</xdr:colOff>
      <xdr:row>42</xdr:row>
      <xdr:rowOff>103395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E2127135-6265-4381-D776-669749FA23B2}"/>
            </a:ext>
          </a:extLst>
        </xdr:cNvPr>
        <xdr:cNvGrpSpPr/>
      </xdr:nvGrpSpPr>
      <xdr:grpSpPr>
        <a:xfrm>
          <a:off x="3331533" y="8080744"/>
          <a:ext cx="10216118" cy="0"/>
          <a:chOff x="3000460" y="8448338"/>
          <a:chExt cx="10213344" cy="3230831"/>
        </a:xfrm>
      </xdr:grpSpPr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E1EFC019-C9CA-1B16-82CD-F1109B2FFF0F}"/>
              </a:ext>
            </a:extLst>
          </xdr:cNvPr>
          <xdr:cNvGrpSpPr/>
        </xdr:nvGrpSpPr>
        <xdr:grpSpPr>
          <a:xfrm>
            <a:off x="3000460" y="8448338"/>
            <a:ext cx="10213344" cy="3230831"/>
            <a:chOff x="3002668" y="8496929"/>
            <a:chExt cx="10219971" cy="3268379"/>
          </a:xfrm>
        </xdr:grpSpPr>
        <xdr:grpSp>
          <xdr:nvGrpSpPr>
            <xdr:cNvPr id="7" name="Group 6">
              <a:extLst>
                <a:ext uri="{FF2B5EF4-FFF2-40B4-BE49-F238E27FC236}">
                  <a16:creationId xmlns:a16="http://schemas.microsoft.com/office/drawing/2014/main" id="{428D5A1E-54BE-4071-88D5-CE187C5FAB10}"/>
                </a:ext>
              </a:extLst>
            </xdr:cNvPr>
            <xdr:cNvGrpSpPr/>
          </xdr:nvGrpSpPr>
          <xdr:grpSpPr>
            <a:xfrm>
              <a:off x="3002668" y="8496929"/>
              <a:ext cx="10219971" cy="3268379"/>
              <a:chOff x="3002668" y="8496929"/>
              <a:chExt cx="10219971" cy="3268379"/>
            </a:xfrm>
          </xdr:grpSpPr>
          <xdr:sp macro="" textlink="">
            <xdr:nvSpPr>
              <xdr:cNvPr id="25" name="Oval 24">
                <a:extLst>
                  <a:ext uri="{FF2B5EF4-FFF2-40B4-BE49-F238E27FC236}">
                    <a16:creationId xmlns:a16="http://schemas.microsoft.com/office/drawing/2014/main" id="{0AB0D230-35EA-7082-6813-7FC0C7F9611F}"/>
                  </a:ext>
                </a:extLst>
              </xdr:cNvPr>
              <xdr:cNvSpPr/>
            </xdr:nvSpPr>
            <xdr:spPr>
              <a:xfrm>
                <a:off x="3002668" y="8496929"/>
                <a:ext cx="3241285" cy="3268379"/>
              </a:xfrm>
              <a:prstGeom prst="ellipse">
                <a:avLst/>
              </a:prstGeom>
              <a:solidFill>
                <a:srgbClr val="FADF78"/>
              </a:solidFill>
              <a:ln>
                <a:solidFill>
                  <a:srgbClr val="FADF78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26" name="Rectangle: Rounded Corners 25">
                <a:extLst>
                  <a:ext uri="{FF2B5EF4-FFF2-40B4-BE49-F238E27FC236}">
                    <a16:creationId xmlns:a16="http://schemas.microsoft.com/office/drawing/2014/main" id="{93FFC346-52AF-FC17-A76B-0BA8C54201D0}"/>
                  </a:ext>
                </a:extLst>
              </xdr:cNvPr>
              <xdr:cNvSpPr/>
            </xdr:nvSpPr>
            <xdr:spPr>
              <a:xfrm>
                <a:off x="4030484" y="8496929"/>
                <a:ext cx="9192155" cy="3268379"/>
              </a:xfrm>
              <a:prstGeom prst="roundRect">
                <a:avLst/>
              </a:prstGeom>
              <a:solidFill>
                <a:srgbClr val="FADF78"/>
              </a:solidFill>
              <a:ln>
                <a:solidFill>
                  <a:srgbClr val="FADF78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27" name="Oval 26">
                <a:extLst>
                  <a:ext uri="{FF2B5EF4-FFF2-40B4-BE49-F238E27FC236}">
                    <a16:creationId xmlns:a16="http://schemas.microsoft.com/office/drawing/2014/main" id="{5C232DA8-46AF-495A-9950-174EB439E010}"/>
                  </a:ext>
                </a:extLst>
              </xdr:cNvPr>
              <xdr:cNvSpPr/>
            </xdr:nvSpPr>
            <xdr:spPr>
              <a:xfrm>
                <a:off x="3341137" y="8766185"/>
                <a:ext cx="2701285" cy="2725040"/>
              </a:xfrm>
              <a:prstGeom prst="ellipse">
                <a:avLst/>
              </a:prstGeom>
              <a:solidFill>
                <a:schemeClr val="bg1"/>
              </a:solidFill>
              <a:ln>
                <a:solidFill>
                  <a:srgbClr val="FADF78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pic>
            <xdr:nvPicPr>
              <xdr:cNvPr id="29" name="Picture 28">
                <a:extLst>
                  <a:ext uri="{FF2B5EF4-FFF2-40B4-BE49-F238E27FC236}">
                    <a16:creationId xmlns:a16="http://schemas.microsoft.com/office/drawing/2014/main" id="{9B5F87D8-5744-4511-2909-C9D390E4EC4A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8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578600" y="9014175"/>
                <a:ext cx="2166933" cy="221742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</xdr:grpSp>
        <xdr:sp macro="" textlink="">
          <xdr:nvSpPr>
            <xdr:cNvPr id="32" name="TextBox 31">
              <a:extLst>
                <a:ext uri="{FF2B5EF4-FFF2-40B4-BE49-F238E27FC236}">
                  <a16:creationId xmlns:a16="http://schemas.microsoft.com/office/drawing/2014/main" id="{8384F6C1-9BE2-4A6C-A009-61AB9A35CE8D}"/>
                </a:ext>
              </a:extLst>
            </xdr:cNvPr>
            <xdr:cNvSpPr txBox="1"/>
          </xdr:nvSpPr>
          <xdr:spPr>
            <a:xfrm>
              <a:off x="6229151" y="8613436"/>
              <a:ext cx="6922592" cy="2234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3800" b="1">
                  <a:solidFill>
                    <a:srgbClr val="82B922"/>
                  </a:solidFill>
                  <a:latin typeface="LEMON MILK" panose="00000500000000000000" pitchFamily="50" charset="0"/>
                </a:rPr>
                <a:t>Intuisi</a:t>
              </a:r>
            </a:p>
          </xdr:txBody>
        </xdr:sp>
      </xdr:grp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1BCDBF52-D558-4BBF-9EEE-EB07DE22D38E}"/>
              </a:ext>
            </a:extLst>
          </xdr:cNvPr>
          <xdr:cNvSpPr txBox="1"/>
        </xdr:nvSpPr>
        <xdr:spPr>
          <a:xfrm>
            <a:off x="6342244" y="10617994"/>
            <a:ext cx="6366591" cy="7589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l"/>
            <a:r>
              <a:rPr lang="en-US" sz="2900" b="0">
                <a:solidFill>
                  <a:srgbClr val="5A4B29"/>
                </a:solidFill>
                <a:latin typeface="LEMON MILK" panose="00000500000000000000" pitchFamily="50" charset="0"/>
              </a:rPr>
              <a:t>INSTRUMEN</a:t>
            </a:r>
            <a:r>
              <a:rPr lang="en-US" sz="2900" b="0" baseline="0">
                <a:solidFill>
                  <a:srgbClr val="5A4B29"/>
                </a:solidFill>
                <a:latin typeface="LEMON MILK" panose="00000500000000000000" pitchFamily="50" charset="0"/>
              </a:rPr>
              <a:t> PERHITUNGAN EMISI</a:t>
            </a:r>
            <a:endParaRPr lang="en-US" sz="2900" b="0">
              <a:solidFill>
                <a:srgbClr val="5A4B29"/>
              </a:solidFill>
              <a:latin typeface="LEMON MILK" panose="00000500000000000000" pitchFamily="50" charset="0"/>
            </a:endParaRPr>
          </a:p>
        </xdr:txBody>
      </xdr:sp>
    </xdr:grpSp>
    <xdr:clientData/>
  </xdr:twoCellAnchor>
  <xdr:twoCellAnchor editAs="oneCell">
    <xdr:from>
      <xdr:col>2</xdr:col>
      <xdr:colOff>2779796</xdr:colOff>
      <xdr:row>2</xdr:row>
      <xdr:rowOff>535712</xdr:rowOff>
    </xdr:from>
    <xdr:to>
      <xdr:col>4</xdr:col>
      <xdr:colOff>1612605</xdr:colOff>
      <xdr:row>5</xdr:row>
      <xdr:rowOff>150997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89782C5-1E25-8F47-E561-6EC1CBCD7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48052" y="907852"/>
          <a:ext cx="5566762" cy="1768378"/>
        </a:xfrm>
        <a:prstGeom prst="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 editAs="oneCell">
    <xdr:from>
      <xdr:col>4</xdr:col>
      <xdr:colOff>2241699</xdr:colOff>
      <xdr:row>6</xdr:row>
      <xdr:rowOff>345560</xdr:rowOff>
    </xdr:from>
    <xdr:to>
      <xdr:col>5</xdr:col>
      <xdr:colOff>314722</xdr:colOff>
      <xdr:row>8</xdr:row>
      <xdr:rowOff>348494</xdr:rowOff>
    </xdr:to>
    <xdr:pic macro="[0]!UICekStatusEmisi">
      <xdr:nvPicPr>
        <xdr:cNvPr id="36" name="Picture 35">
          <a:extLst>
            <a:ext uri="{FF2B5EF4-FFF2-40B4-BE49-F238E27FC236}">
              <a16:creationId xmlns:a16="http://schemas.microsoft.com/office/drawing/2014/main" id="{A546238F-D212-13AD-CDE2-12CE68C93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43908" y="3588490"/>
          <a:ext cx="1440000" cy="1438330"/>
        </a:xfrm>
        <a:prstGeom prst="rect">
          <a:avLst/>
        </a:pr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2279055</xdr:colOff>
      <xdr:row>8</xdr:row>
      <xdr:rowOff>444794</xdr:rowOff>
    </xdr:from>
    <xdr:ext cx="1481944" cy="677493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A76B3DF5-892A-4F66-9BBD-08BA370A622E}"/>
            </a:ext>
          </a:extLst>
        </xdr:cNvPr>
        <xdr:cNvSpPr txBox="1"/>
      </xdr:nvSpPr>
      <xdr:spPr>
        <a:xfrm>
          <a:off x="11981264" y="5123120"/>
          <a:ext cx="1481944" cy="677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600" b="1">
              <a:solidFill>
                <a:schemeClr val="accent4">
                  <a:lumMod val="40000"/>
                  <a:lumOff val="60000"/>
                </a:schemeClr>
              </a:solidFill>
              <a:latin typeface="LEMON MILK" panose="00000500000000000000" pitchFamily="50" charset="0"/>
            </a:rPr>
            <a:t>CEK</a:t>
          </a:r>
          <a:r>
            <a:rPr lang="en-US" sz="1600" b="1" baseline="0">
              <a:solidFill>
                <a:schemeClr val="accent4">
                  <a:lumMod val="40000"/>
                  <a:lumOff val="60000"/>
                </a:schemeClr>
              </a:solidFill>
              <a:latin typeface="LEMON MILK" panose="00000500000000000000" pitchFamily="50" charset="0"/>
            </a:rPr>
            <a:t> STATUS</a:t>
          </a:r>
        </a:p>
        <a:p>
          <a:pPr algn="ctr"/>
          <a:r>
            <a:rPr lang="en-US" sz="1600" b="1" baseline="0">
              <a:solidFill>
                <a:schemeClr val="accent4">
                  <a:lumMod val="40000"/>
                  <a:lumOff val="60000"/>
                </a:schemeClr>
              </a:solidFill>
              <a:latin typeface="LEMON MILK" panose="00000500000000000000" pitchFamily="50" charset="0"/>
            </a:rPr>
            <a:t>EMISI GRK</a:t>
          </a:r>
          <a:endParaRPr lang="en-US" sz="1600" b="1">
            <a:solidFill>
              <a:schemeClr val="accent4">
                <a:lumMod val="40000"/>
                <a:lumOff val="60000"/>
              </a:schemeClr>
            </a:solidFill>
            <a:latin typeface="LEMON MILK" panose="00000500000000000000" pitchFamily="50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8860</xdr:rowOff>
    </xdr:from>
    <xdr:to>
      <xdr:col>8</xdr:col>
      <xdr:colOff>398721</xdr:colOff>
      <xdr:row>39</xdr:row>
      <xdr:rowOff>0</xdr:rowOff>
    </xdr:to>
    <xdr:sp macro="" textlink="">
      <xdr:nvSpPr>
        <xdr:cNvPr id="28" name="Rectangle: Top Corners Rounded 27">
          <a:extLst>
            <a:ext uri="{FF2B5EF4-FFF2-40B4-BE49-F238E27FC236}">
              <a16:creationId xmlns:a16="http://schemas.microsoft.com/office/drawing/2014/main" id="{8443D6C9-4A9C-4E39-8E68-53B800A62650}"/>
            </a:ext>
          </a:extLst>
        </xdr:cNvPr>
        <xdr:cNvSpPr/>
      </xdr:nvSpPr>
      <xdr:spPr>
        <a:xfrm rot="5400000" flipH="1">
          <a:off x="8222512" y="5404883"/>
          <a:ext cx="11190768" cy="398721"/>
        </a:xfrm>
        <a:prstGeom prst="round2SameRect">
          <a:avLst>
            <a:gd name="adj1" fmla="val 50000"/>
            <a:gd name="adj2" fmla="val 0"/>
          </a:avLst>
        </a:prstGeom>
        <a:solidFill>
          <a:srgbClr val="996552"/>
        </a:solidFill>
        <a:ln>
          <a:solidFill>
            <a:srgbClr val="99655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</xdr:col>
      <xdr:colOff>434163</xdr:colOff>
      <xdr:row>18</xdr:row>
      <xdr:rowOff>106325</xdr:rowOff>
    </xdr:from>
    <xdr:to>
      <xdr:col>4</xdr:col>
      <xdr:colOff>1284656</xdr:colOff>
      <xdr:row>19</xdr:row>
      <xdr:rowOff>132907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6D77815-D49D-4C42-9661-BBE0C081EF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016" b="35060"/>
        <a:stretch/>
      </xdr:blipFill>
      <xdr:spPr>
        <a:xfrm>
          <a:off x="9826256" y="5351720"/>
          <a:ext cx="1364400" cy="381001"/>
        </a:xfrm>
        <a:prstGeom prst="rect">
          <a:avLst/>
        </a:prstGeom>
      </xdr:spPr>
    </xdr:pic>
    <xdr:clientData/>
  </xdr:twoCellAnchor>
  <xdr:twoCellAnchor editAs="oneCell">
    <xdr:from>
      <xdr:col>4</xdr:col>
      <xdr:colOff>1108191</xdr:colOff>
      <xdr:row>15</xdr:row>
      <xdr:rowOff>256953</xdr:rowOff>
    </xdr:from>
    <xdr:to>
      <xdr:col>4</xdr:col>
      <xdr:colOff>2472703</xdr:colOff>
      <xdr:row>16</xdr:row>
      <xdr:rowOff>310117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8064A37-3AF0-4A6D-9705-35605C2F14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416" b="35714"/>
        <a:stretch/>
      </xdr:blipFill>
      <xdr:spPr>
        <a:xfrm>
          <a:off x="11014191" y="4439093"/>
          <a:ext cx="1364512" cy="407582"/>
        </a:xfrm>
        <a:prstGeom prst="rect">
          <a:avLst/>
        </a:prstGeom>
      </xdr:spPr>
    </xdr:pic>
    <xdr:clientData/>
  </xdr:twoCellAnchor>
  <xdr:twoCellAnchor editAs="oneCell">
    <xdr:from>
      <xdr:col>6</xdr:col>
      <xdr:colOff>3</xdr:colOff>
      <xdr:row>0</xdr:row>
      <xdr:rowOff>0</xdr:rowOff>
    </xdr:from>
    <xdr:to>
      <xdr:col>8</xdr:col>
      <xdr:colOff>42505</xdr:colOff>
      <xdr:row>2</xdr:row>
      <xdr:rowOff>707037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81863" y="0"/>
          <a:ext cx="1079177" cy="1079177"/>
        </a:xfrm>
        <a:prstGeom prst="rect">
          <a:avLst/>
        </a:prstGeom>
      </xdr:spPr>
    </xdr:pic>
    <xdr:clientData/>
  </xdr:twoCellAnchor>
  <xdr:twoCellAnchor editAs="oneCell">
    <xdr:from>
      <xdr:col>1</xdr:col>
      <xdr:colOff>248094</xdr:colOff>
      <xdr:row>1</xdr:row>
      <xdr:rowOff>8862</xdr:rowOff>
    </xdr:from>
    <xdr:to>
      <xdr:col>2</xdr:col>
      <xdr:colOff>454187</xdr:colOff>
      <xdr:row>2</xdr:row>
      <xdr:rowOff>542792</xdr:rowOff>
    </xdr:to>
    <xdr:pic macro="[0]!Backtohome">
      <xdr:nvPicPr>
        <xdr:cNvPr id="8" name="Picture 7">
          <a:extLst>
            <a:ext uri="{FF2B5EF4-FFF2-40B4-BE49-F238E27FC236}">
              <a16:creationId xmlns:a16="http://schemas.microsoft.com/office/drawing/2014/main" id="{227E40B7-7A8C-47BB-A6A1-F5BFC465BB1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559" y="194932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487326</xdr:colOff>
      <xdr:row>1</xdr:row>
      <xdr:rowOff>53161</xdr:rowOff>
    </xdr:from>
    <xdr:ext cx="1258185" cy="636072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7D9FF2CF-0956-4519-A5A5-0C7F4C752889}"/>
            </a:ext>
          </a:extLst>
        </xdr:cNvPr>
        <xdr:cNvSpPr txBox="1"/>
      </xdr:nvSpPr>
      <xdr:spPr>
        <a:xfrm>
          <a:off x="6051698" y="239231"/>
          <a:ext cx="1258185" cy="6360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lang="en-US" sz="1200" b="1">
              <a:solidFill>
                <a:schemeClr val="bg1"/>
              </a:solidFill>
              <a:latin typeface="Lucida Sans" panose="020B0602030504020204" pitchFamily="34" charset="0"/>
            </a:rPr>
            <a:t>Back</a:t>
          </a:r>
          <a:r>
            <a:rPr lang="en-US" sz="1200" b="1" baseline="0">
              <a:solidFill>
                <a:schemeClr val="bg1"/>
              </a:solidFill>
              <a:latin typeface="Lucida Sans" panose="020B0602030504020204" pitchFamily="34" charset="0"/>
            </a:rPr>
            <a:t> to</a:t>
          </a:r>
          <a:br>
            <a:rPr lang="en-US" sz="1600" b="1" baseline="0">
              <a:solidFill>
                <a:schemeClr val="bg1"/>
              </a:solidFill>
              <a:latin typeface="Lucida Sans" panose="020B0602030504020204" pitchFamily="34" charset="0"/>
            </a:rPr>
          </a:br>
          <a:r>
            <a:rPr lang="en-US" sz="2400" b="1" baseline="0">
              <a:solidFill>
                <a:schemeClr val="bg1"/>
              </a:solidFill>
              <a:latin typeface="Lucida Sans" panose="020B0602030504020204" pitchFamily="34" charset="0"/>
            </a:rPr>
            <a:t>HOME</a:t>
          </a:r>
          <a:endParaRPr lang="en-US" sz="1600" b="1">
            <a:solidFill>
              <a:schemeClr val="bg1"/>
            </a:solidFill>
            <a:latin typeface="Lucida Sans" panose="020B0602030504020204" pitchFamily="34" charset="0"/>
          </a:endParaRPr>
        </a:p>
      </xdr:txBody>
    </xdr:sp>
    <xdr:clientData/>
  </xdr:oneCellAnchor>
  <xdr:twoCellAnchor editAs="oneCell">
    <xdr:from>
      <xdr:col>4</xdr:col>
      <xdr:colOff>1433631</xdr:colOff>
      <xdr:row>16</xdr:row>
      <xdr:rowOff>168349</xdr:rowOff>
    </xdr:from>
    <xdr:to>
      <xdr:col>4</xdr:col>
      <xdr:colOff>2150514</xdr:colOff>
      <xdr:row>18</xdr:row>
      <xdr:rowOff>179512</xdr:rowOff>
    </xdr:to>
    <xdr:pic macro="[0]!HitungEmisiListrik">
      <xdr:nvPicPr>
        <xdr:cNvPr id="11" name="Picture 10">
          <a:extLst>
            <a:ext uri="{FF2B5EF4-FFF2-40B4-BE49-F238E27FC236}">
              <a16:creationId xmlns:a16="http://schemas.microsoft.com/office/drawing/2014/main" id="{66A97EFE-2CAF-4A4E-AB3E-A2C59C68E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6840" y="4704907"/>
          <a:ext cx="71688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866555</xdr:colOff>
      <xdr:row>34</xdr:row>
      <xdr:rowOff>53164</xdr:rowOff>
    </xdr:from>
    <xdr:to>
      <xdr:col>4</xdr:col>
      <xdr:colOff>1583437</xdr:colOff>
      <xdr:row>37</xdr:row>
      <xdr:rowOff>82048</xdr:rowOff>
    </xdr:to>
    <xdr:pic macro="[0]!ResetAllListrik">
      <xdr:nvPicPr>
        <xdr:cNvPr id="12" name="Picture 11">
          <a:extLst>
            <a:ext uri="{FF2B5EF4-FFF2-40B4-BE49-F238E27FC236}">
              <a16:creationId xmlns:a16="http://schemas.microsoft.com/office/drawing/2014/main" id="{CDB99FA4-13F3-4D1F-98F7-C0260971B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555" y="10224978"/>
          <a:ext cx="716882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246322</xdr:colOff>
      <xdr:row>16</xdr:row>
      <xdr:rowOff>194932</xdr:rowOff>
    </xdr:from>
    <xdr:to>
      <xdr:col>4</xdr:col>
      <xdr:colOff>963206</xdr:colOff>
      <xdr:row>18</xdr:row>
      <xdr:rowOff>206095</xdr:rowOff>
    </xdr:to>
    <xdr:pic macro="[0]!ClearvalueatasListrik">
      <xdr:nvPicPr>
        <xdr:cNvPr id="13" name="Picture 12">
          <a:extLst>
            <a:ext uri="{FF2B5EF4-FFF2-40B4-BE49-F238E27FC236}">
              <a16:creationId xmlns:a16="http://schemas.microsoft.com/office/drawing/2014/main" id="{A27A3E77-162D-4E11-839C-8C52CCFDD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9531" y="4731490"/>
          <a:ext cx="71688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2915094</xdr:colOff>
      <xdr:row>0</xdr:row>
      <xdr:rowOff>0</xdr:rowOff>
    </xdr:from>
    <xdr:to>
      <xdr:col>1</xdr:col>
      <xdr:colOff>24629</xdr:colOff>
      <xdr:row>39</xdr:row>
      <xdr:rowOff>0</xdr:rowOff>
    </xdr:to>
    <xdr:sp macro="" textlink="">
      <xdr:nvSpPr>
        <xdr:cNvPr id="18" name="Rectangle: Top Corners Rounded 17">
          <a:extLst>
            <a:ext uri="{FF2B5EF4-FFF2-40B4-BE49-F238E27FC236}">
              <a16:creationId xmlns:a16="http://schemas.microsoft.com/office/drawing/2014/main" id="{28DEEC8C-3F04-4697-849A-876098BA70EB}"/>
            </a:ext>
          </a:extLst>
        </xdr:cNvPr>
        <xdr:cNvSpPr/>
      </xdr:nvSpPr>
      <xdr:spPr>
        <a:xfrm rot="16200000">
          <a:off x="-1604720" y="4519814"/>
          <a:ext cx="11199628" cy="2160000"/>
        </a:xfrm>
        <a:prstGeom prst="round2SameRect">
          <a:avLst>
            <a:gd name="adj1" fmla="val 8873"/>
            <a:gd name="adj2" fmla="val 0"/>
          </a:avLst>
        </a:prstGeom>
        <a:solidFill>
          <a:srgbClr val="733F2C"/>
        </a:solidFill>
        <a:ln>
          <a:solidFill>
            <a:srgbClr val="5A4B2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3366978</xdr:colOff>
      <xdr:row>31</xdr:row>
      <xdr:rowOff>274674</xdr:rowOff>
    </xdr:from>
    <xdr:to>
      <xdr:col>0</xdr:col>
      <xdr:colOff>4616304</xdr:colOff>
      <xdr:row>36</xdr:row>
      <xdr:rowOff>124047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BD7E41F-B6B7-048D-9490-ACF759010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6978" y="9507279"/>
          <a:ext cx="1249326" cy="1249326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3047999</xdr:colOff>
      <xdr:row>1</xdr:row>
      <xdr:rowOff>53164</xdr:rowOff>
    </xdr:from>
    <xdr:to>
      <xdr:col>0</xdr:col>
      <xdr:colOff>4882116</xdr:colOff>
      <xdr:row>2</xdr:row>
      <xdr:rowOff>449683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3874354-CAD4-4295-A432-537DE4775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47999" y="239234"/>
          <a:ext cx="1834117" cy="582589"/>
        </a:xfrm>
        <a:prstGeom prst="rect">
          <a:avLst/>
        </a:prstGeom>
      </xdr:spPr>
    </xdr:pic>
    <xdr:clientData/>
  </xdr:twoCellAnchor>
  <xdr:twoCellAnchor editAs="absolute">
    <xdr:from>
      <xdr:col>0</xdr:col>
      <xdr:colOff>2915092</xdr:colOff>
      <xdr:row>15</xdr:row>
      <xdr:rowOff>336698</xdr:rowOff>
    </xdr:from>
    <xdr:to>
      <xdr:col>1</xdr:col>
      <xdr:colOff>53163</xdr:colOff>
      <xdr:row>21</xdr:row>
      <xdr:rowOff>221511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F5733DDC-78D0-4086-A61F-CCEB2C088295}"/>
            </a:ext>
          </a:extLst>
        </xdr:cNvPr>
        <xdr:cNvSpPr/>
      </xdr:nvSpPr>
      <xdr:spPr>
        <a:xfrm>
          <a:off x="2915092" y="4518838"/>
          <a:ext cx="2188536" cy="1603743"/>
        </a:xfrm>
        <a:prstGeom prst="rect">
          <a:avLst/>
        </a:prstGeom>
        <a:solidFill>
          <a:srgbClr val="AB5E2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absolute">
    <xdr:from>
      <xdr:col>0</xdr:col>
      <xdr:colOff>3340394</xdr:colOff>
      <xdr:row>4</xdr:row>
      <xdr:rowOff>44300</xdr:rowOff>
    </xdr:from>
    <xdr:to>
      <xdr:col>0</xdr:col>
      <xdr:colOff>4601857</xdr:colOff>
      <xdr:row>8</xdr:row>
      <xdr:rowOff>283534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421BFEF-8E50-467F-B721-98C01F64B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0394" y="1364509"/>
          <a:ext cx="1261463" cy="12581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3340403</xdr:colOff>
      <xdr:row>10</xdr:row>
      <xdr:rowOff>283533</xdr:rowOff>
    </xdr:from>
    <xdr:to>
      <xdr:col>0</xdr:col>
      <xdr:colOff>4601866</xdr:colOff>
      <xdr:row>15</xdr:row>
      <xdr:rowOff>196742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9AF1338-00CB-489C-97EB-BA3EF5D4E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0403" y="3118882"/>
          <a:ext cx="1261463" cy="1260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3358122</xdr:colOff>
      <xdr:row>16</xdr:row>
      <xdr:rowOff>150627</xdr:rowOff>
    </xdr:from>
    <xdr:to>
      <xdr:col>0</xdr:col>
      <xdr:colOff>4619585</xdr:colOff>
      <xdr:row>21</xdr:row>
      <xdr:rowOff>46115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CE8C2FB-4303-4E8C-B773-AB4163E78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8122" y="4687185"/>
          <a:ext cx="1261463" cy="1260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62024</xdr:colOff>
      <xdr:row>0</xdr:row>
      <xdr:rowOff>62024</xdr:rowOff>
    </xdr:from>
    <xdr:to>
      <xdr:col>0</xdr:col>
      <xdr:colOff>177211</xdr:colOff>
      <xdr:row>2</xdr:row>
      <xdr:rowOff>35442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632D6E9-6830-6770-4C34-651439300C1B}"/>
            </a:ext>
          </a:extLst>
        </xdr:cNvPr>
        <xdr:cNvSpPr/>
      </xdr:nvSpPr>
      <xdr:spPr>
        <a:xfrm>
          <a:off x="62024" y="62024"/>
          <a:ext cx="115187" cy="345558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0</xdr:col>
      <xdr:colOff>196703</xdr:colOff>
      <xdr:row>0</xdr:row>
      <xdr:rowOff>63793</xdr:rowOff>
    </xdr:from>
    <xdr:ext cx="1663994" cy="273601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AF7F34F9-877F-4FC8-9507-7B6EC4A003AF}"/>
            </a:ext>
          </a:extLst>
        </xdr:cNvPr>
        <xdr:cNvSpPr txBox="1"/>
      </xdr:nvSpPr>
      <xdr:spPr>
        <a:xfrm>
          <a:off x="196703" y="63793"/>
          <a:ext cx="1663994" cy="2736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lang="en-US" sz="1200" b="1">
              <a:solidFill>
                <a:srgbClr val="733F2C"/>
              </a:solidFill>
              <a:latin typeface="Lucida Sans" panose="020B0602030504020204" pitchFamily="34" charset="0"/>
            </a:rPr>
            <a:t>wajib diisi/dipilih</a:t>
          </a:r>
          <a:endParaRPr lang="en-US" sz="1600" b="1">
            <a:solidFill>
              <a:srgbClr val="733F2C"/>
            </a:solidFill>
            <a:latin typeface="Lucida Sans" panose="020B0602030504020204" pitchFamily="34" charset="0"/>
          </a:endParaRPr>
        </a:p>
      </xdr:txBody>
    </xdr:sp>
    <xdr:clientData/>
  </xdr:oneCellAnchor>
  <xdr:twoCellAnchor editAs="oneCell">
    <xdr:from>
      <xdr:col>0</xdr:col>
      <xdr:colOff>3623929</xdr:colOff>
      <xdr:row>33</xdr:row>
      <xdr:rowOff>177209</xdr:rowOff>
    </xdr:from>
    <xdr:to>
      <xdr:col>0</xdr:col>
      <xdr:colOff>4343929</xdr:colOff>
      <xdr:row>36</xdr:row>
      <xdr:rowOff>213419</xdr:rowOff>
    </xdr:to>
    <xdr:pic macro="[0]!UIReferensi">
      <xdr:nvPicPr>
        <xdr:cNvPr id="25" name="Picture 24">
          <a:extLst>
            <a:ext uri="{FF2B5EF4-FFF2-40B4-BE49-F238E27FC236}">
              <a16:creationId xmlns:a16="http://schemas.microsoft.com/office/drawing/2014/main" id="{8C4109E7-1F82-452F-B82A-D384F70B0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3929" y="10118651"/>
          <a:ext cx="720000" cy="72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468975</xdr:colOff>
      <xdr:row>40</xdr:row>
      <xdr:rowOff>124045</xdr:rowOff>
    </xdr:from>
    <xdr:to>
      <xdr:col>4</xdr:col>
      <xdr:colOff>1310608</xdr:colOff>
      <xdr:row>41</xdr:row>
      <xdr:rowOff>159487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A36A824C-DC65-20B5-693C-D192DBEF5A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68" b="36358"/>
        <a:stretch/>
      </xdr:blipFill>
      <xdr:spPr>
        <a:xfrm>
          <a:off x="9861068" y="10942673"/>
          <a:ext cx="1364400" cy="389861"/>
        </a:xfrm>
        <a:prstGeom prst="rect">
          <a:avLst/>
        </a:prstGeom>
      </xdr:spPr>
    </xdr:pic>
    <xdr:clientData/>
  </xdr:twoCellAnchor>
  <xdr:twoCellAnchor editAs="oneCell">
    <xdr:from>
      <xdr:col>4</xdr:col>
      <xdr:colOff>1178445</xdr:colOff>
      <xdr:row>37</xdr:row>
      <xdr:rowOff>301256</xdr:rowOff>
    </xdr:from>
    <xdr:to>
      <xdr:col>4</xdr:col>
      <xdr:colOff>2542957</xdr:colOff>
      <xdr:row>38</xdr:row>
      <xdr:rowOff>310118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247029A-5961-BD1E-93EA-0DBF593D4A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714" b="37663"/>
        <a:stretch/>
      </xdr:blipFill>
      <xdr:spPr>
        <a:xfrm>
          <a:off x="11093305" y="10056628"/>
          <a:ext cx="1364512" cy="363280"/>
        </a:xfrm>
        <a:prstGeom prst="rect">
          <a:avLst/>
        </a:prstGeom>
      </xdr:spPr>
    </xdr:pic>
    <xdr:clientData/>
  </xdr:twoCellAnchor>
  <xdr:oneCellAnchor>
    <xdr:from>
      <xdr:col>2</xdr:col>
      <xdr:colOff>505047</xdr:colOff>
      <xdr:row>0</xdr:row>
      <xdr:rowOff>186069</xdr:rowOff>
    </xdr:from>
    <xdr:ext cx="1258185" cy="69647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0654968-D095-F540-E43E-A3730656B5CC}"/>
            </a:ext>
          </a:extLst>
        </xdr:cNvPr>
        <xdr:cNvSpPr txBox="1"/>
      </xdr:nvSpPr>
      <xdr:spPr>
        <a:xfrm>
          <a:off x="6069419" y="186069"/>
          <a:ext cx="1258185" cy="6964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lang="en-US" sz="1200" b="1">
              <a:solidFill>
                <a:schemeClr val="bg1"/>
              </a:solidFill>
              <a:latin typeface="Lucida Sans" panose="020B0602030504020204" pitchFamily="34" charset="0"/>
            </a:rPr>
            <a:t>Back</a:t>
          </a:r>
          <a:r>
            <a:rPr lang="en-US" sz="1200" b="1" baseline="0">
              <a:solidFill>
                <a:schemeClr val="bg1"/>
              </a:solidFill>
              <a:latin typeface="Lucida Sans" panose="020B0602030504020204" pitchFamily="34" charset="0"/>
            </a:rPr>
            <a:t> to</a:t>
          </a:r>
          <a:r>
            <a:rPr lang="en-US" sz="1600" b="1" baseline="0">
              <a:solidFill>
                <a:schemeClr val="bg1"/>
              </a:solidFill>
              <a:latin typeface="Lucida Sans" panose="020B0602030504020204" pitchFamily="34" charset="0"/>
            </a:rPr>
            <a:t> </a:t>
          </a:r>
          <a:r>
            <a:rPr lang="en-US" sz="2400" b="1" baseline="0">
              <a:solidFill>
                <a:schemeClr val="bg1"/>
              </a:solidFill>
              <a:latin typeface="Lucida Sans" panose="020B0602030504020204" pitchFamily="34" charset="0"/>
            </a:rPr>
            <a:t>HOME</a:t>
          </a:r>
          <a:endParaRPr lang="en-US" sz="1600" b="1">
            <a:solidFill>
              <a:schemeClr val="bg1"/>
            </a:solidFill>
            <a:latin typeface="Lucida Sans" panose="020B0602030504020204" pitchFamily="34" charset="0"/>
          </a:endParaRPr>
        </a:p>
      </xdr:txBody>
    </xdr:sp>
    <xdr:clientData/>
  </xdr:oneCellAnchor>
  <xdr:twoCellAnchor editAs="oneCell">
    <xdr:from>
      <xdr:col>4</xdr:col>
      <xdr:colOff>1497424</xdr:colOff>
      <xdr:row>38</xdr:row>
      <xdr:rowOff>212649</xdr:rowOff>
    </xdr:from>
    <xdr:to>
      <xdr:col>4</xdr:col>
      <xdr:colOff>2214307</xdr:colOff>
      <xdr:row>40</xdr:row>
      <xdr:rowOff>223812</xdr:rowOff>
    </xdr:to>
    <xdr:pic macro="[0]!HitungBahanBakar">
      <xdr:nvPicPr>
        <xdr:cNvPr id="12" name="Picture 11">
          <a:extLst>
            <a:ext uri="{FF2B5EF4-FFF2-40B4-BE49-F238E27FC236}">
              <a16:creationId xmlns:a16="http://schemas.microsoft.com/office/drawing/2014/main" id="{9244608C-672E-565D-C069-F421F71AC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5098" y="10322440"/>
          <a:ext cx="71688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868324</xdr:colOff>
      <xdr:row>55</xdr:row>
      <xdr:rowOff>177208</xdr:rowOff>
    </xdr:from>
    <xdr:to>
      <xdr:col>4</xdr:col>
      <xdr:colOff>1732889</xdr:colOff>
      <xdr:row>59</xdr:row>
      <xdr:rowOff>124044</xdr:rowOff>
    </xdr:to>
    <xdr:pic macro="[0]!ClearvalueALLBahanBakar">
      <xdr:nvPicPr>
        <xdr:cNvPr id="13" name="Picture 12">
          <a:extLst>
            <a:ext uri="{FF2B5EF4-FFF2-40B4-BE49-F238E27FC236}">
              <a16:creationId xmlns:a16="http://schemas.microsoft.com/office/drawing/2014/main" id="{E4BB40B9-DDC8-47D2-BAD6-D5F0B0352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3184" y="13255255"/>
          <a:ext cx="864565" cy="86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283535</xdr:colOff>
      <xdr:row>38</xdr:row>
      <xdr:rowOff>248092</xdr:rowOff>
    </xdr:from>
    <xdr:to>
      <xdr:col>4</xdr:col>
      <xdr:colOff>1000419</xdr:colOff>
      <xdr:row>40</xdr:row>
      <xdr:rowOff>259255</xdr:rowOff>
    </xdr:to>
    <xdr:pic macro="[0]!ClearvalueatasBahanBakar">
      <xdr:nvPicPr>
        <xdr:cNvPr id="14" name="Picture 13">
          <a:extLst>
            <a:ext uri="{FF2B5EF4-FFF2-40B4-BE49-F238E27FC236}">
              <a16:creationId xmlns:a16="http://schemas.microsoft.com/office/drawing/2014/main" id="{358A5F88-6BFF-DAF3-8D02-73E887FDE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1209" y="10357883"/>
          <a:ext cx="71688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8857</xdr:colOff>
      <xdr:row>0</xdr:row>
      <xdr:rowOff>0</xdr:rowOff>
    </xdr:from>
    <xdr:to>
      <xdr:col>8</xdr:col>
      <xdr:colOff>407578</xdr:colOff>
      <xdr:row>60</xdr:row>
      <xdr:rowOff>132906</xdr:rowOff>
    </xdr:to>
    <xdr:sp macro="" textlink="">
      <xdr:nvSpPr>
        <xdr:cNvPr id="27" name="Rectangle: Top Corners Rounded 26">
          <a:extLst>
            <a:ext uri="{FF2B5EF4-FFF2-40B4-BE49-F238E27FC236}">
              <a16:creationId xmlns:a16="http://schemas.microsoft.com/office/drawing/2014/main" id="{0B7509D2-6A34-6507-D199-405CA6DDCFC2}"/>
            </a:ext>
          </a:extLst>
        </xdr:cNvPr>
        <xdr:cNvSpPr/>
      </xdr:nvSpPr>
      <xdr:spPr>
        <a:xfrm rot="5400000" flipH="1">
          <a:off x="6313079" y="7234569"/>
          <a:ext cx="14867859" cy="398721"/>
        </a:xfrm>
        <a:prstGeom prst="round2SameRect">
          <a:avLst>
            <a:gd name="adj1" fmla="val 50000"/>
            <a:gd name="adj2" fmla="val 0"/>
          </a:avLst>
        </a:prstGeom>
        <a:solidFill>
          <a:srgbClr val="996552"/>
        </a:solidFill>
        <a:ln>
          <a:solidFill>
            <a:srgbClr val="99655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256954</xdr:colOff>
      <xdr:row>0</xdr:row>
      <xdr:rowOff>168350</xdr:rowOff>
    </xdr:from>
    <xdr:to>
      <xdr:col>2</xdr:col>
      <xdr:colOff>463047</xdr:colOff>
      <xdr:row>2</xdr:row>
      <xdr:rowOff>516210</xdr:rowOff>
    </xdr:to>
    <xdr:pic macro="[0]!Backtohome">
      <xdr:nvPicPr>
        <xdr:cNvPr id="8" name="Picture 7">
          <a:extLst>
            <a:ext uri="{FF2B5EF4-FFF2-40B4-BE49-F238E27FC236}">
              <a16:creationId xmlns:a16="http://schemas.microsoft.com/office/drawing/2014/main" id="{C4CFBE9C-CEB7-9481-9BE9-D8FE63CBC38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7419" y="1683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2906237</xdr:colOff>
      <xdr:row>0</xdr:row>
      <xdr:rowOff>0</xdr:rowOff>
    </xdr:from>
    <xdr:to>
      <xdr:col>1</xdr:col>
      <xdr:colOff>15772</xdr:colOff>
      <xdr:row>60</xdr:row>
      <xdr:rowOff>132905</xdr:rowOff>
    </xdr:to>
    <xdr:sp macro="" textlink="">
      <xdr:nvSpPr>
        <xdr:cNvPr id="28" name="Rectangle: Top Corners Rounded 27">
          <a:extLst>
            <a:ext uri="{FF2B5EF4-FFF2-40B4-BE49-F238E27FC236}">
              <a16:creationId xmlns:a16="http://schemas.microsoft.com/office/drawing/2014/main" id="{311A1E34-3083-4256-84E0-66E54828D08F}"/>
            </a:ext>
          </a:extLst>
        </xdr:cNvPr>
        <xdr:cNvSpPr/>
      </xdr:nvSpPr>
      <xdr:spPr>
        <a:xfrm rot="16200000">
          <a:off x="-3447692" y="6353929"/>
          <a:ext cx="14867858" cy="2160000"/>
        </a:xfrm>
        <a:prstGeom prst="round2SameRect">
          <a:avLst>
            <a:gd name="adj1" fmla="val 8873"/>
            <a:gd name="adj2" fmla="val 0"/>
          </a:avLst>
        </a:prstGeom>
        <a:solidFill>
          <a:srgbClr val="583022"/>
        </a:solidFill>
        <a:ln>
          <a:solidFill>
            <a:srgbClr val="5A4B2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3096379</xdr:colOff>
      <xdr:row>1</xdr:row>
      <xdr:rowOff>35441</xdr:rowOff>
    </xdr:from>
    <xdr:to>
      <xdr:col>0</xdr:col>
      <xdr:colOff>4930496</xdr:colOff>
      <xdr:row>2</xdr:row>
      <xdr:rowOff>431960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49D8BD8-8416-A597-5221-FD72DB560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96379" y="221511"/>
          <a:ext cx="1834117" cy="582589"/>
        </a:xfrm>
        <a:prstGeom prst="rect">
          <a:avLst/>
        </a:prstGeom>
      </xdr:spPr>
    </xdr:pic>
    <xdr:clientData/>
  </xdr:twoCellAnchor>
  <xdr:twoCellAnchor editAs="oneCell">
    <xdr:from>
      <xdr:col>5</xdr:col>
      <xdr:colOff>115189</xdr:colOff>
      <xdr:row>0</xdr:row>
      <xdr:rowOff>0</xdr:rowOff>
    </xdr:from>
    <xdr:to>
      <xdr:col>8</xdr:col>
      <xdr:colOff>122249</xdr:colOff>
      <xdr:row>2</xdr:row>
      <xdr:rowOff>707037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60352" y="0"/>
          <a:ext cx="1079177" cy="1079177"/>
        </a:xfrm>
        <a:prstGeom prst="rect">
          <a:avLst/>
        </a:prstGeom>
      </xdr:spPr>
    </xdr:pic>
    <xdr:clientData/>
  </xdr:twoCellAnchor>
  <xdr:twoCellAnchor editAs="absolute">
    <xdr:from>
      <xdr:col>0</xdr:col>
      <xdr:colOff>2906231</xdr:colOff>
      <xdr:row>3</xdr:row>
      <xdr:rowOff>3</xdr:rowOff>
    </xdr:from>
    <xdr:to>
      <xdr:col>1</xdr:col>
      <xdr:colOff>22411</xdr:colOff>
      <xdr:row>18</xdr:row>
      <xdr:rowOff>53163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5453F4A-CF99-B9EE-C22E-EAA96A12DD67}"/>
            </a:ext>
          </a:extLst>
        </xdr:cNvPr>
        <xdr:cNvSpPr/>
      </xdr:nvSpPr>
      <xdr:spPr>
        <a:xfrm>
          <a:off x="2906231" y="1075768"/>
          <a:ext cx="2170033" cy="1823689"/>
        </a:xfrm>
        <a:prstGeom prst="rect">
          <a:avLst/>
        </a:prstGeom>
        <a:solidFill>
          <a:srgbClr val="AB5E2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absolute">
    <xdr:from>
      <xdr:col>0</xdr:col>
      <xdr:colOff>3358114</xdr:colOff>
      <xdr:row>4</xdr:row>
      <xdr:rowOff>44302</xdr:rowOff>
    </xdr:from>
    <xdr:to>
      <xdr:col>0</xdr:col>
      <xdr:colOff>4619577</xdr:colOff>
      <xdr:row>10</xdr:row>
      <xdr:rowOff>292397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8801E4C-0134-4243-A245-74197BA83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8114" y="1364511"/>
          <a:ext cx="1261463" cy="12581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3358123</xdr:colOff>
      <xdr:row>18</xdr:row>
      <xdr:rowOff>283535</xdr:rowOff>
    </xdr:from>
    <xdr:to>
      <xdr:col>0</xdr:col>
      <xdr:colOff>4619586</xdr:colOff>
      <xdr:row>24</xdr:row>
      <xdr:rowOff>28396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497D616-E0E6-41FF-8585-026EC3C93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8123" y="3118884"/>
          <a:ext cx="1261463" cy="1260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3375842</xdr:colOff>
      <xdr:row>24</xdr:row>
      <xdr:rowOff>336699</xdr:rowOff>
    </xdr:from>
    <xdr:to>
      <xdr:col>0</xdr:col>
      <xdr:colOff>4637305</xdr:colOff>
      <xdr:row>36</xdr:row>
      <xdr:rowOff>81559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064B973-CB0E-4817-B40B-AEB15771C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5842" y="4687187"/>
          <a:ext cx="1261463" cy="1260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44303</xdr:colOff>
      <xdr:row>0</xdr:row>
      <xdr:rowOff>35442</xdr:rowOff>
    </xdr:from>
    <xdr:to>
      <xdr:col>0</xdr:col>
      <xdr:colOff>159490</xdr:colOff>
      <xdr:row>2</xdr:row>
      <xdr:rowOff>8860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D7DA6F19-2AD5-4889-8016-2424CE239C9B}"/>
            </a:ext>
          </a:extLst>
        </xdr:cNvPr>
        <xdr:cNvSpPr/>
      </xdr:nvSpPr>
      <xdr:spPr>
        <a:xfrm>
          <a:off x="44303" y="35442"/>
          <a:ext cx="115187" cy="345558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0</xdr:col>
      <xdr:colOff>178982</xdr:colOff>
      <xdr:row>0</xdr:row>
      <xdr:rowOff>37211</xdr:rowOff>
    </xdr:from>
    <xdr:ext cx="1663994" cy="27360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25E59C6A-86FE-4BB4-BF53-59B6C3573B52}"/>
            </a:ext>
          </a:extLst>
        </xdr:cNvPr>
        <xdr:cNvSpPr txBox="1"/>
      </xdr:nvSpPr>
      <xdr:spPr>
        <a:xfrm>
          <a:off x="178982" y="37211"/>
          <a:ext cx="1663994" cy="2736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lang="en-US" sz="1200" b="1">
              <a:solidFill>
                <a:srgbClr val="733F2C"/>
              </a:solidFill>
              <a:latin typeface="Lucida Sans" panose="020B0602030504020204" pitchFamily="34" charset="0"/>
            </a:rPr>
            <a:t>wajib diisi/dipilih</a:t>
          </a:r>
          <a:endParaRPr lang="en-US" sz="1600" b="1">
            <a:solidFill>
              <a:srgbClr val="733F2C"/>
            </a:solidFill>
            <a:latin typeface="Lucida Sans" panose="020B0602030504020204" pitchFamily="34" charset="0"/>
          </a:endParaRPr>
        </a:p>
      </xdr:txBody>
    </xdr:sp>
    <xdr:clientData/>
  </xdr:oneCellAnchor>
  <xdr:twoCellAnchor editAs="oneCell">
    <xdr:from>
      <xdr:col>0</xdr:col>
      <xdr:colOff>3366976</xdr:colOff>
      <xdr:row>54</xdr:row>
      <xdr:rowOff>8861</xdr:rowOff>
    </xdr:from>
    <xdr:to>
      <xdr:col>0</xdr:col>
      <xdr:colOff>4616302</xdr:colOff>
      <xdr:row>58</xdr:row>
      <xdr:rowOff>212652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3E8DE1-7E45-4F66-961B-86B713062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6976" y="11722396"/>
          <a:ext cx="1249326" cy="1249326"/>
        </a:xfrm>
        <a:prstGeom prst="rect">
          <a:avLst/>
        </a:prstGeom>
      </xdr:spPr>
    </xdr:pic>
    <xdr:clientData/>
  </xdr:twoCellAnchor>
  <xdr:twoCellAnchor editAs="oneCell">
    <xdr:from>
      <xdr:col>0</xdr:col>
      <xdr:colOff>3623927</xdr:colOff>
      <xdr:row>56</xdr:row>
      <xdr:rowOff>35442</xdr:rowOff>
    </xdr:from>
    <xdr:to>
      <xdr:col>0</xdr:col>
      <xdr:colOff>4343927</xdr:colOff>
      <xdr:row>59</xdr:row>
      <xdr:rowOff>71652</xdr:rowOff>
    </xdr:to>
    <xdr:pic macro="[0]!UIReferensi">
      <xdr:nvPicPr>
        <xdr:cNvPr id="20" name="Picture 19">
          <a:extLst>
            <a:ext uri="{FF2B5EF4-FFF2-40B4-BE49-F238E27FC236}">
              <a16:creationId xmlns:a16="http://schemas.microsoft.com/office/drawing/2014/main" id="{9036CE9B-8B9D-45BE-8279-95CA4E25A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3927" y="12333768"/>
          <a:ext cx="720000" cy="72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1187933</xdr:colOff>
      <xdr:row>31</xdr:row>
      <xdr:rowOff>203790</xdr:rowOff>
    </xdr:from>
    <xdr:to>
      <xdr:col>4</xdr:col>
      <xdr:colOff>2552445</xdr:colOff>
      <xdr:row>33</xdr:row>
      <xdr:rowOff>106325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2CACA3F-B436-410A-8E82-428794D665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467" b="33117"/>
        <a:stretch/>
      </xdr:blipFill>
      <xdr:spPr>
        <a:xfrm>
          <a:off x="11085073" y="8328837"/>
          <a:ext cx="1364512" cy="469605"/>
        </a:xfrm>
        <a:prstGeom prst="rect">
          <a:avLst/>
        </a:prstGeom>
      </xdr:spPr>
    </xdr:pic>
    <xdr:clientData/>
  </xdr:twoCellAnchor>
  <xdr:twoCellAnchor editAs="oneCell">
    <xdr:from>
      <xdr:col>3</xdr:col>
      <xdr:colOff>478463</xdr:colOff>
      <xdr:row>34</xdr:row>
      <xdr:rowOff>256953</xdr:rowOff>
    </xdr:from>
    <xdr:to>
      <xdr:col>4</xdr:col>
      <xdr:colOff>1328956</xdr:colOff>
      <xdr:row>36</xdr:row>
      <xdr:rowOff>115186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6B4ABDA-3675-4295-A1D8-231E492C08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418" b="34411"/>
        <a:stretch/>
      </xdr:blipFill>
      <xdr:spPr>
        <a:xfrm>
          <a:off x="9861696" y="9232604"/>
          <a:ext cx="1364400" cy="425303"/>
        </a:xfrm>
        <a:prstGeom prst="rect">
          <a:avLst/>
        </a:prstGeom>
      </xdr:spPr>
    </xdr:pic>
    <xdr:clientData/>
  </xdr:twoCellAnchor>
  <xdr:twoCellAnchor editAs="oneCell">
    <xdr:from>
      <xdr:col>1</xdr:col>
      <xdr:colOff>265812</xdr:colOff>
      <xdr:row>1</xdr:row>
      <xdr:rowOff>0</xdr:rowOff>
    </xdr:from>
    <xdr:to>
      <xdr:col>2</xdr:col>
      <xdr:colOff>471905</xdr:colOff>
      <xdr:row>2</xdr:row>
      <xdr:rowOff>533930</xdr:rowOff>
    </xdr:to>
    <xdr:pic macro="[0]!Backtohome">
      <xdr:nvPicPr>
        <xdr:cNvPr id="8" name="Picture 7">
          <a:extLst>
            <a:ext uri="{FF2B5EF4-FFF2-40B4-BE49-F238E27FC236}">
              <a16:creationId xmlns:a16="http://schemas.microsoft.com/office/drawing/2014/main" id="{507B975C-8F39-4505-B3D7-81DB2549337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7417" y="18607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487324</xdr:colOff>
      <xdr:row>1</xdr:row>
      <xdr:rowOff>44299</xdr:rowOff>
    </xdr:from>
    <xdr:ext cx="1258185" cy="636072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6E7F496-433A-45D5-A3F4-BDAFC67DCC5A}"/>
            </a:ext>
          </a:extLst>
        </xdr:cNvPr>
        <xdr:cNvSpPr txBox="1"/>
      </xdr:nvSpPr>
      <xdr:spPr>
        <a:xfrm>
          <a:off x="6042836" y="230369"/>
          <a:ext cx="1258185" cy="6360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lang="en-US" sz="1200" b="1">
              <a:solidFill>
                <a:schemeClr val="bg1"/>
              </a:solidFill>
              <a:latin typeface="Lucida Sans" panose="020B0602030504020204" pitchFamily="34" charset="0"/>
            </a:rPr>
            <a:t>Back</a:t>
          </a:r>
          <a:r>
            <a:rPr lang="en-US" sz="1200" b="1" baseline="0">
              <a:solidFill>
                <a:schemeClr val="bg1"/>
              </a:solidFill>
              <a:latin typeface="Lucida Sans" panose="020B0602030504020204" pitchFamily="34" charset="0"/>
            </a:rPr>
            <a:t> to</a:t>
          </a:r>
          <a:br>
            <a:rPr lang="en-US" sz="1600" b="1" baseline="0">
              <a:solidFill>
                <a:schemeClr val="bg1"/>
              </a:solidFill>
              <a:latin typeface="Lucida Sans" panose="020B0602030504020204" pitchFamily="34" charset="0"/>
            </a:rPr>
          </a:br>
          <a:r>
            <a:rPr lang="en-US" sz="2400" b="1" baseline="0">
              <a:solidFill>
                <a:schemeClr val="bg1"/>
              </a:solidFill>
              <a:latin typeface="Lucida Sans" panose="020B0602030504020204" pitchFamily="34" charset="0"/>
            </a:rPr>
            <a:t>HOME</a:t>
          </a:r>
          <a:endParaRPr lang="en-US" sz="1600" b="1">
            <a:solidFill>
              <a:schemeClr val="bg1"/>
            </a:solidFill>
            <a:latin typeface="Lucida Sans" panose="020B0602030504020204" pitchFamily="34" charset="0"/>
          </a:endParaRPr>
        </a:p>
      </xdr:txBody>
    </xdr:sp>
    <xdr:clientData/>
  </xdr:oneCellAnchor>
  <xdr:twoCellAnchor editAs="oneCell">
    <xdr:from>
      <xdr:col>4</xdr:col>
      <xdr:colOff>1504514</xdr:colOff>
      <xdr:row>32</xdr:row>
      <xdr:rowOff>212651</xdr:rowOff>
    </xdr:from>
    <xdr:to>
      <xdr:col>4</xdr:col>
      <xdr:colOff>2221397</xdr:colOff>
      <xdr:row>35</xdr:row>
      <xdr:rowOff>82046</xdr:rowOff>
    </xdr:to>
    <xdr:pic macro="[0]!HitungBiomassa">
      <xdr:nvPicPr>
        <xdr:cNvPr id="10" name="Picture 9">
          <a:extLst>
            <a:ext uri="{FF2B5EF4-FFF2-40B4-BE49-F238E27FC236}">
              <a16:creationId xmlns:a16="http://schemas.microsoft.com/office/drawing/2014/main" id="{F2F1E923-0FA2-4CC9-887E-E05250ACA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1654" y="8621232"/>
          <a:ext cx="71688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8859</xdr:colOff>
      <xdr:row>0</xdr:row>
      <xdr:rowOff>0</xdr:rowOff>
    </xdr:from>
    <xdr:to>
      <xdr:col>8</xdr:col>
      <xdr:colOff>407580</xdr:colOff>
      <xdr:row>55</xdr:row>
      <xdr:rowOff>0</xdr:rowOff>
    </xdr:to>
    <xdr:sp macro="" textlink="">
      <xdr:nvSpPr>
        <xdr:cNvPr id="26" name="Rectangle: Top Corners Rounded 25">
          <a:extLst>
            <a:ext uri="{FF2B5EF4-FFF2-40B4-BE49-F238E27FC236}">
              <a16:creationId xmlns:a16="http://schemas.microsoft.com/office/drawing/2014/main" id="{65430FB4-817E-4453-9D06-413D021EBAD1}"/>
            </a:ext>
          </a:extLst>
        </xdr:cNvPr>
        <xdr:cNvSpPr/>
      </xdr:nvSpPr>
      <xdr:spPr>
        <a:xfrm rot="5400000" flipH="1">
          <a:off x="6073847" y="7482663"/>
          <a:ext cx="15364047" cy="398721"/>
        </a:xfrm>
        <a:prstGeom prst="round2SameRect">
          <a:avLst>
            <a:gd name="adj1" fmla="val 50000"/>
            <a:gd name="adj2" fmla="val 0"/>
          </a:avLst>
        </a:prstGeom>
        <a:solidFill>
          <a:srgbClr val="996552"/>
        </a:solidFill>
        <a:ln>
          <a:solidFill>
            <a:srgbClr val="99655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</xdr:col>
      <xdr:colOff>955160</xdr:colOff>
      <xdr:row>50</xdr:row>
      <xdr:rowOff>88607</xdr:rowOff>
    </xdr:from>
    <xdr:to>
      <xdr:col>4</xdr:col>
      <xdr:colOff>1672042</xdr:colOff>
      <xdr:row>53</xdr:row>
      <xdr:rowOff>117491</xdr:rowOff>
    </xdr:to>
    <xdr:pic macro="[0]!ClearvalueALLBiomassa">
      <xdr:nvPicPr>
        <xdr:cNvPr id="11" name="Picture 10">
          <a:extLst>
            <a:ext uri="{FF2B5EF4-FFF2-40B4-BE49-F238E27FC236}">
              <a16:creationId xmlns:a16="http://schemas.microsoft.com/office/drawing/2014/main" id="{B40FA431-04DE-47A3-AEA4-25F3CE9A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2300" y="17588026"/>
          <a:ext cx="716882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290624</xdr:colOff>
      <xdr:row>32</xdr:row>
      <xdr:rowOff>239235</xdr:rowOff>
    </xdr:from>
    <xdr:to>
      <xdr:col>4</xdr:col>
      <xdr:colOff>1007508</xdr:colOff>
      <xdr:row>35</xdr:row>
      <xdr:rowOff>108630</xdr:rowOff>
    </xdr:to>
    <xdr:pic macro="[0]!ClearvalueatasBiomassa">
      <xdr:nvPicPr>
        <xdr:cNvPr id="12" name="Picture 11">
          <a:extLst>
            <a:ext uri="{FF2B5EF4-FFF2-40B4-BE49-F238E27FC236}">
              <a16:creationId xmlns:a16="http://schemas.microsoft.com/office/drawing/2014/main" id="{22250216-0DF3-474C-9C55-E789AE36F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7764" y="8647816"/>
          <a:ext cx="71688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118376</xdr:colOff>
      <xdr:row>0</xdr:row>
      <xdr:rowOff>0</xdr:rowOff>
    </xdr:from>
    <xdr:ext cx="1079177" cy="1079177"/>
    <xdr:pic>
      <xdr:nvPicPr>
        <xdr:cNvPr id="17" name="Picture 16">
          <a:extLst>
            <a:ext uri="{FF2B5EF4-FFF2-40B4-BE49-F238E27FC236}">
              <a16:creationId xmlns:a16="http://schemas.microsoft.com/office/drawing/2014/main" id="{BE35ABA5-63BA-47D1-8606-409FC28D5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593911" y="0"/>
          <a:ext cx="1079177" cy="1079177"/>
        </a:xfrm>
        <a:prstGeom prst="rect">
          <a:avLst/>
        </a:prstGeom>
      </xdr:spPr>
    </xdr:pic>
    <xdr:clientData/>
  </xdr:oneCellAnchor>
  <xdr:twoCellAnchor>
    <xdr:from>
      <xdr:col>0</xdr:col>
      <xdr:colOff>2879648</xdr:colOff>
      <xdr:row>0</xdr:row>
      <xdr:rowOff>0</xdr:rowOff>
    </xdr:from>
    <xdr:to>
      <xdr:col>1</xdr:col>
      <xdr:colOff>35444</xdr:colOff>
      <xdr:row>55</xdr:row>
      <xdr:rowOff>2</xdr:rowOff>
    </xdr:to>
    <xdr:sp macro="" textlink="">
      <xdr:nvSpPr>
        <xdr:cNvPr id="20" name="Rectangle: Top Corners Rounded 19">
          <a:extLst>
            <a:ext uri="{FF2B5EF4-FFF2-40B4-BE49-F238E27FC236}">
              <a16:creationId xmlns:a16="http://schemas.microsoft.com/office/drawing/2014/main" id="{5DB3EB82-6365-4432-B85C-62F55B16F529}"/>
            </a:ext>
          </a:extLst>
        </xdr:cNvPr>
        <xdr:cNvSpPr/>
      </xdr:nvSpPr>
      <xdr:spPr>
        <a:xfrm rot="16200000">
          <a:off x="-3703676" y="6583324"/>
          <a:ext cx="15364049" cy="2197401"/>
        </a:xfrm>
        <a:prstGeom prst="round2SameRect">
          <a:avLst>
            <a:gd name="adj1" fmla="val 8873"/>
            <a:gd name="adj2" fmla="val 0"/>
          </a:avLst>
        </a:prstGeom>
        <a:solidFill>
          <a:srgbClr val="733F2C"/>
        </a:solidFill>
        <a:ln>
          <a:solidFill>
            <a:srgbClr val="5A4B2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3030279</xdr:colOff>
      <xdr:row>1</xdr:row>
      <xdr:rowOff>62023</xdr:rowOff>
    </xdr:from>
    <xdr:to>
      <xdr:col>0</xdr:col>
      <xdr:colOff>4864396</xdr:colOff>
      <xdr:row>2</xdr:row>
      <xdr:rowOff>458542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499F783-5E84-49DB-B5F7-1215B32F0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30279" y="248093"/>
          <a:ext cx="1834117" cy="582589"/>
        </a:xfrm>
        <a:prstGeom prst="rect">
          <a:avLst/>
        </a:prstGeom>
      </xdr:spPr>
    </xdr:pic>
    <xdr:clientData/>
  </xdr:twoCellAnchor>
  <xdr:twoCellAnchor editAs="absolute">
    <xdr:from>
      <xdr:col>0</xdr:col>
      <xdr:colOff>2879649</xdr:colOff>
      <xdr:row>10</xdr:row>
      <xdr:rowOff>53163</xdr:rowOff>
    </xdr:from>
    <xdr:to>
      <xdr:col>1</xdr:col>
      <xdr:colOff>53162</xdr:colOff>
      <xdr:row>16</xdr:row>
      <xdr:rowOff>248092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2DB787BF-4D6C-4F96-AFE9-E8FFF9146F31}"/>
            </a:ext>
          </a:extLst>
        </xdr:cNvPr>
        <xdr:cNvSpPr/>
      </xdr:nvSpPr>
      <xdr:spPr>
        <a:xfrm>
          <a:off x="2879649" y="2861930"/>
          <a:ext cx="2215118" cy="1683488"/>
        </a:xfrm>
        <a:prstGeom prst="rect">
          <a:avLst/>
        </a:prstGeom>
        <a:solidFill>
          <a:srgbClr val="AB5E2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absolute">
    <xdr:from>
      <xdr:col>0</xdr:col>
      <xdr:colOff>3331532</xdr:colOff>
      <xdr:row>4</xdr:row>
      <xdr:rowOff>35439</xdr:rowOff>
    </xdr:from>
    <xdr:to>
      <xdr:col>0</xdr:col>
      <xdr:colOff>4592995</xdr:colOff>
      <xdr:row>8</xdr:row>
      <xdr:rowOff>301255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CED3991-9D6D-4B0B-BDC1-D9FE8AC03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1532" y="1355648"/>
          <a:ext cx="1261463" cy="12581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3331541</xdr:colOff>
      <xdr:row>10</xdr:row>
      <xdr:rowOff>301254</xdr:rowOff>
    </xdr:from>
    <xdr:to>
      <xdr:col>0</xdr:col>
      <xdr:colOff>4593004</xdr:colOff>
      <xdr:row>16</xdr:row>
      <xdr:rowOff>72695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4160659-89DB-4DDA-869C-909B97248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1541" y="3110021"/>
          <a:ext cx="1261463" cy="1260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3349260</xdr:colOff>
      <xdr:row>17</xdr:row>
      <xdr:rowOff>26580</xdr:rowOff>
    </xdr:from>
    <xdr:to>
      <xdr:col>0</xdr:col>
      <xdr:colOff>4610723</xdr:colOff>
      <xdr:row>30</xdr:row>
      <xdr:rowOff>152440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34B3E77-05AF-4BB2-A71B-1898CD897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9260" y="4678324"/>
          <a:ext cx="1261463" cy="1260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35442</xdr:colOff>
      <xdr:row>0</xdr:row>
      <xdr:rowOff>35443</xdr:rowOff>
    </xdr:from>
    <xdr:to>
      <xdr:col>0</xdr:col>
      <xdr:colOff>150629</xdr:colOff>
      <xdr:row>2</xdr:row>
      <xdr:rowOff>8861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68423B5F-9133-45B7-BA7A-F1913BD40F0A}"/>
            </a:ext>
          </a:extLst>
        </xdr:cNvPr>
        <xdr:cNvSpPr/>
      </xdr:nvSpPr>
      <xdr:spPr>
        <a:xfrm>
          <a:off x="35442" y="35443"/>
          <a:ext cx="115187" cy="345558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0</xdr:col>
      <xdr:colOff>170121</xdr:colOff>
      <xdr:row>0</xdr:row>
      <xdr:rowOff>37212</xdr:rowOff>
    </xdr:from>
    <xdr:ext cx="1663994" cy="273601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BD22A590-5B7E-431F-B068-E0BE543ED5C8}"/>
            </a:ext>
          </a:extLst>
        </xdr:cNvPr>
        <xdr:cNvSpPr txBox="1"/>
      </xdr:nvSpPr>
      <xdr:spPr>
        <a:xfrm>
          <a:off x="170121" y="37212"/>
          <a:ext cx="1663994" cy="2736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lang="en-US" sz="1200" b="1">
              <a:solidFill>
                <a:srgbClr val="733F2C"/>
              </a:solidFill>
              <a:latin typeface="Lucida Sans" panose="020B0602030504020204" pitchFamily="34" charset="0"/>
            </a:rPr>
            <a:t>wajib diisi/dipilih</a:t>
          </a:r>
          <a:endParaRPr lang="en-US" sz="1600" b="1">
            <a:solidFill>
              <a:srgbClr val="733F2C"/>
            </a:solidFill>
            <a:latin typeface="Lucida Sans" panose="020B0602030504020204" pitchFamily="34" charset="0"/>
          </a:endParaRPr>
        </a:p>
      </xdr:txBody>
    </xdr:sp>
    <xdr:clientData/>
  </xdr:oneCellAnchor>
  <xdr:twoCellAnchor editAs="oneCell">
    <xdr:from>
      <xdr:col>0</xdr:col>
      <xdr:colOff>3366977</xdr:colOff>
      <xdr:row>48</xdr:row>
      <xdr:rowOff>17722</xdr:rowOff>
    </xdr:from>
    <xdr:to>
      <xdr:col>0</xdr:col>
      <xdr:colOff>4616303</xdr:colOff>
      <xdr:row>52</xdr:row>
      <xdr:rowOff>221513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F1FB8C0-5707-4D54-AE2B-B2F4A6F7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6977" y="11757838"/>
          <a:ext cx="1249326" cy="1249326"/>
        </a:xfrm>
        <a:prstGeom prst="rect">
          <a:avLst/>
        </a:prstGeom>
      </xdr:spPr>
    </xdr:pic>
    <xdr:clientData/>
  </xdr:twoCellAnchor>
  <xdr:twoCellAnchor editAs="oneCell">
    <xdr:from>
      <xdr:col>0</xdr:col>
      <xdr:colOff>3623928</xdr:colOff>
      <xdr:row>50</xdr:row>
      <xdr:rowOff>44303</xdr:rowOff>
    </xdr:from>
    <xdr:to>
      <xdr:col>0</xdr:col>
      <xdr:colOff>4343928</xdr:colOff>
      <xdr:row>53</xdr:row>
      <xdr:rowOff>80513</xdr:rowOff>
    </xdr:to>
    <xdr:pic macro="[0]!UIReferensi">
      <xdr:nvPicPr>
        <xdr:cNvPr id="30" name="Picture 29">
          <a:extLst>
            <a:ext uri="{FF2B5EF4-FFF2-40B4-BE49-F238E27FC236}">
              <a16:creationId xmlns:a16="http://schemas.microsoft.com/office/drawing/2014/main" id="{63F4FD82-54AD-4AF0-9C42-06B39EDAB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3928" y="12369210"/>
          <a:ext cx="720000" cy="72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2481561</xdr:colOff>
      <xdr:row>14</xdr:row>
      <xdr:rowOff>0</xdr:rowOff>
    </xdr:from>
    <xdr:to>
      <xdr:col>4</xdr:col>
      <xdr:colOff>3846073</xdr:colOff>
      <xdr:row>15</xdr:row>
      <xdr:rowOff>186071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830BA6-1E22-4880-8BFA-F7F8CEEE13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467" b="33117"/>
        <a:stretch/>
      </xdr:blipFill>
      <xdr:spPr>
        <a:xfrm>
          <a:off x="10801538" y="3446721"/>
          <a:ext cx="1364512" cy="469605"/>
        </a:xfrm>
        <a:prstGeom prst="rect">
          <a:avLst/>
        </a:prstGeom>
      </xdr:spPr>
    </xdr:pic>
    <xdr:clientData/>
  </xdr:twoCellAnchor>
  <xdr:twoCellAnchor editAs="oneCell">
    <xdr:from>
      <xdr:col>4</xdr:col>
      <xdr:colOff>1258184</xdr:colOff>
      <xdr:row>17</xdr:row>
      <xdr:rowOff>53163</xdr:rowOff>
    </xdr:from>
    <xdr:to>
      <xdr:col>4</xdr:col>
      <xdr:colOff>2622584</xdr:colOff>
      <xdr:row>18</xdr:row>
      <xdr:rowOff>194931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D95185-D23A-4D98-93D7-5480785F4D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418" b="34411"/>
        <a:stretch/>
      </xdr:blipFill>
      <xdr:spPr>
        <a:xfrm>
          <a:off x="9578161" y="4350489"/>
          <a:ext cx="1364400" cy="425303"/>
        </a:xfrm>
        <a:prstGeom prst="rect">
          <a:avLst/>
        </a:prstGeom>
      </xdr:spPr>
    </xdr:pic>
    <xdr:clientData/>
  </xdr:twoCellAnchor>
  <xdr:twoCellAnchor editAs="oneCell">
    <xdr:from>
      <xdr:col>1</xdr:col>
      <xdr:colOff>265812</xdr:colOff>
      <xdr:row>1</xdr:row>
      <xdr:rowOff>0</xdr:rowOff>
    </xdr:from>
    <xdr:to>
      <xdr:col>2</xdr:col>
      <xdr:colOff>471905</xdr:colOff>
      <xdr:row>2</xdr:row>
      <xdr:rowOff>533930</xdr:rowOff>
    </xdr:to>
    <xdr:pic macro="[0]!Backtohome">
      <xdr:nvPicPr>
        <xdr:cNvPr id="4" name="Picture 3">
          <a:extLst>
            <a:ext uri="{FF2B5EF4-FFF2-40B4-BE49-F238E27FC236}">
              <a16:creationId xmlns:a16="http://schemas.microsoft.com/office/drawing/2014/main" id="{A60E2649-C650-474C-A87E-08A63DDA33D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0252" y="182880"/>
          <a:ext cx="716633" cy="716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487324</xdr:colOff>
      <xdr:row>1</xdr:row>
      <xdr:rowOff>44299</xdr:rowOff>
    </xdr:from>
    <xdr:ext cx="1258185" cy="636072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8FD61B2-991C-4672-907A-C524A75172F0}"/>
            </a:ext>
          </a:extLst>
        </xdr:cNvPr>
        <xdr:cNvSpPr txBox="1"/>
      </xdr:nvSpPr>
      <xdr:spPr>
        <a:xfrm>
          <a:off x="6042304" y="227179"/>
          <a:ext cx="1258185" cy="6360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lang="en-US" sz="1200" b="1">
              <a:solidFill>
                <a:schemeClr val="bg1"/>
              </a:solidFill>
              <a:latin typeface="Lucida Sans" panose="020B0602030504020204" pitchFamily="34" charset="0"/>
            </a:rPr>
            <a:t>Back</a:t>
          </a:r>
          <a:r>
            <a:rPr lang="en-US" sz="1200" b="1" baseline="0">
              <a:solidFill>
                <a:schemeClr val="bg1"/>
              </a:solidFill>
              <a:latin typeface="Lucida Sans" panose="020B0602030504020204" pitchFamily="34" charset="0"/>
            </a:rPr>
            <a:t> to</a:t>
          </a:r>
          <a:br>
            <a:rPr lang="en-US" sz="1600" b="1" baseline="0">
              <a:solidFill>
                <a:schemeClr val="bg1"/>
              </a:solidFill>
              <a:latin typeface="Lucida Sans" panose="020B0602030504020204" pitchFamily="34" charset="0"/>
            </a:rPr>
          </a:br>
          <a:r>
            <a:rPr lang="en-US" sz="2400" b="1" baseline="0">
              <a:solidFill>
                <a:schemeClr val="bg1"/>
              </a:solidFill>
              <a:latin typeface="Lucida Sans" panose="020B0602030504020204" pitchFamily="34" charset="0"/>
            </a:rPr>
            <a:t>HOME</a:t>
          </a:r>
          <a:endParaRPr lang="en-US" sz="1600" b="1">
            <a:solidFill>
              <a:schemeClr val="bg1"/>
            </a:solidFill>
            <a:latin typeface="Lucida Sans" panose="020B0602030504020204" pitchFamily="34" charset="0"/>
          </a:endParaRPr>
        </a:p>
      </xdr:txBody>
    </xdr:sp>
    <xdr:clientData/>
  </xdr:oneCellAnchor>
  <xdr:twoCellAnchor editAs="oneCell">
    <xdr:from>
      <xdr:col>4</xdr:col>
      <xdr:colOff>2798142</xdr:colOff>
      <xdr:row>15</xdr:row>
      <xdr:rowOff>8861</xdr:rowOff>
    </xdr:from>
    <xdr:to>
      <xdr:col>4</xdr:col>
      <xdr:colOff>3515025</xdr:colOff>
      <xdr:row>17</xdr:row>
      <xdr:rowOff>161791</xdr:rowOff>
    </xdr:to>
    <xdr:pic macro="[0]!HitungRasioEmisi">
      <xdr:nvPicPr>
        <xdr:cNvPr id="6" name="Picture 5">
          <a:extLst>
            <a:ext uri="{FF2B5EF4-FFF2-40B4-BE49-F238E27FC236}">
              <a16:creationId xmlns:a16="http://schemas.microsoft.com/office/drawing/2014/main" id="{13C37B23-9ACC-4374-9203-4ACCFF009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8119" y="3739117"/>
          <a:ext cx="71688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983512</xdr:colOff>
      <xdr:row>0</xdr:row>
      <xdr:rowOff>0</xdr:rowOff>
    </xdr:from>
    <xdr:to>
      <xdr:col>8</xdr:col>
      <xdr:colOff>407580</xdr:colOff>
      <xdr:row>30</xdr:row>
      <xdr:rowOff>132906</xdr:rowOff>
    </xdr:to>
    <xdr:sp macro="" textlink="">
      <xdr:nvSpPr>
        <xdr:cNvPr id="7" name="Rectangle: Top Corners Rounded 6">
          <a:extLst>
            <a:ext uri="{FF2B5EF4-FFF2-40B4-BE49-F238E27FC236}">
              <a16:creationId xmlns:a16="http://schemas.microsoft.com/office/drawing/2014/main" id="{7C559AE2-320E-4253-AFA3-C9B04BDB2898}"/>
            </a:ext>
          </a:extLst>
        </xdr:cNvPr>
        <xdr:cNvSpPr/>
      </xdr:nvSpPr>
      <xdr:spPr>
        <a:xfrm rot="5400000" flipH="1">
          <a:off x="10845209" y="3951768"/>
          <a:ext cx="8399720" cy="496184"/>
        </a:xfrm>
        <a:prstGeom prst="round2SameRect">
          <a:avLst>
            <a:gd name="adj1" fmla="val 50000"/>
            <a:gd name="adj2" fmla="val 0"/>
          </a:avLst>
        </a:prstGeom>
        <a:solidFill>
          <a:srgbClr val="996552"/>
        </a:solidFill>
        <a:ln>
          <a:solidFill>
            <a:srgbClr val="99655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</xdr:col>
      <xdr:colOff>1584252</xdr:colOff>
      <xdr:row>15</xdr:row>
      <xdr:rowOff>35445</xdr:rowOff>
    </xdr:from>
    <xdr:to>
      <xdr:col>4</xdr:col>
      <xdr:colOff>2301136</xdr:colOff>
      <xdr:row>17</xdr:row>
      <xdr:rowOff>188375</xdr:rowOff>
    </xdr:to>
    <xdr:pic macro="[0]!ClearvalueatasStatusEmisi">
      <xdr:nvPicPr>
        <xdr:cNvPr id="9" name="Picture 8">
          <a:extLst>
            <a:ext uri="{FF2B5EF4-FFF2-40B4-BE49-F238E27FC236}">
              <a16:creationId xmlns:a16="http://schemas.microsoft.com/office/drawing/2014/main" id="{716291F6-EE76-481E-8A41-4418F49C9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4229" y="3765701"/>
          <a:ext cx="71688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29772</xdr:colOff>
      <xdr:row>0</xdr:row>
      <xdr:rowOff>0</xdr:rowOff>
    </xdr:from>
    <xdr:ext cx="1079177" cy="1079177"/>
    <xdr:pic>
      <xdr:nvPicPr>
        <xdr:cNvPr id="10" name="Picture 9">
          <a:extLst>
            <a:ext uri="{FF2B5EF4-FFF2-40B4-BE49-F238E27FC236}">
              <a16:creationId xmlns:a16="http://schemas.microsoft.com/office/drawing/2014/main" id="{60709306-CA71-417B-86A3-61ABDCDF9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843237" y="0"/>
          <a:ext cx="1079177" cy="1079177"/>
        </a:xfrm>
        <a:prstGeom prst="rect">
          <a:avLst/>
        </a:prstGeom>
      </xdr:spPr>
    </xdr:pic>
    <xdr:clientData/>
  </xdr:oneCellAnchor>
  <xdr:twoCellAnchor>
    <xdr:from>
      <xdr:col>0</xdr:col>
      <xdr:colOff>1267044</xdr:colOff>
      <xdr:row>0</xdr:row>
      <xdr:rowOff>0</xdr:rowOff>
    </xdr:from>
    <xdr:to>
      <xdr:col>1</xdr:col>
      <xdr:colOff>8860</xdr:colOff>
      <xdr:row>31</xdr:row>
      <xdr:rowOff>2</xdr:rowOff>
    </xdr:to>
    <xdr:sp macro="" textlink="">
      <xdr:nvSpPr>
        <xdr:cNvPr id="11" name="Rectangle: Top Corners Rounded 10">
          <a:extLst>
            <a:ext uri="{FF2B5EF4-FFF2-40B4-BE49-F238E27FC236}">
              <a16:creationId xmlns:a16="http://schemas.microsoft.com/office/drawing/2014/main" id="{DC1B0726-AA48-40BE-9759-310F6E8207A1}"/>
            </a:ext>
          </a:extLst>
        </xdr:cNvPr>
        <xdr:cNvSpPr/>
      </xdr:nvSpPr>
      <xdr:spPr>
        <a:xfrm rot="16200000">
          <a:off x="-1829689" y="3096733"/>
          <a:ext cx="8399723" cy="2206258"/>
        </a:xfrm>
        <a:prstGeom prst="round2SameRect">
          <a:avLst>
            <a:gd name="adj1" fmla="val 8873"/>
            <a:gd name="adj2" fmla="val 0"/>
          </a:avLst>
        </a:prstGeom>
        <a:solidFill>
          <a:srgbClr val="733F2C"/>
        </a:solidFill>
        <a:ln>
          <a:solidFill>
            <a:srgbClr val="5A4B2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1453117</xdr:colOff>
      <xdr:row>1</xdr:row>
      <xdr:rowOff>115186</xdr:rowOff>
    </xdr:from>
    <xdr:to>
      <xdr:col>0</xdr:col>
      <xdr:colOff>3287234</xdr:colOff>
      <xdr:row>2</xdr:row>
      <xdr:rowOff>511705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EB383EE-B46B-4BE3-86C9-F7E4245C3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53117" y="301256"/>
          <a:ext cx="1834117" cy="582589"/>
        </a:xfrm>
        <a:prstGeom prst="rect">
          <a:avLst/>
        </a:prstGeom>
      </xdr:spPr>
    </xdr:pic>
    <xdr:clientData/>
  </xdr:twoCellAnchor>
  <xdr:twoCellAnchor editAs="absolute">
    <xdr:from>
      <xdr:col>0</xdr:col>
      <xdr:colOff>1267045</xdr:colOff>
      <xdr:row>3</xdr:row>
      <xdr:rowOff>132908</xdr:rowOff>
    </xdr:from>
    <xdr:to>
      <xdr:col>1</xdr:col>
      <xdr:colOff>17721</xdr:colOff>
      <xdr:row>10</xdr:row>
      <xdr:rowOff>97466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7653426-36F6-4F97-AE24-DD35B132EB31}"/>
            </a:ext>
          </a:extLst>
        </xdr:cNvPr>
        <xdr:cNvSpPr/>
      </xdr:nvSpPr>
      <xdr:spPr>
        <a:xfrm>
          <a:off x="1267045" y="1222745"/>
          <a:ext cx="2215118" cy="1683488"/>
        </a:xfrm>
        <a:prstGeom prst="rect">
          <a:avLst/>
        </a:prstGeom>
        <a:solidFill>
          <a:srgbClr val="AB5E2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35442</xdr:colOff>
      <xdr:row>0</xdr:row>
      <xdr:rowOff>35443</xdr:rowOff>
    </xdr:from>
    <xdr:to>
      <xdr:col>0</xdr:col>
      <xdr:colOff>150629</xdr:colOff>
      <xdr:row>2</xdr:row>
      <xdr:rowOff>8861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5AF7B225-D685-445B-959E-A2F05ACD23AD}"/>
            </a:ext>
          </a:extLst>
        </xdr:cNvPr>
        <xdr:cNvSpPr/>
      </xdr:nvSpPr>
      <xdr:spPr>
        <a:xfrm>
          <a:off x="35442" y="35443"/>
          <a:ext cx="115187" cy="339178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0</xdr:col>
      <xdr:colOff>134680</xdr:colOff>
      <xdr:row>0</xdr:row>
      <xdr:rowOff>0</xdr:rowOff>
    </xdr:from>
    <xdr:ext cx="1132367" cy="454868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CFF4897D-BD27-48D1-96BF-DA474081C23F}"/>
            </a:ext>
          </a:extLst>
        </xdr:cNvPr>
        <xdr:cNvSpPr txBox="1"/>
      </xdr:nvSpPr>
      <xdr:spPr>
        <a:xfrm>
          <a:off x="134680" y="0"/>
          <a:ext cx="1132367" cy="4548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lang="en-US" sz="1200" b="1">
              <a:solidFill>
                <a:srgbClr val="733F2C"/>
              </a:solidFill>
              <a:latin typeface="Lucida Sans" panose="020B0602030504020204" pitchFamily="34" charset="0"/>
            </a:rPr>
            <a:t>wajib diisi/dipilih</a:t>
          </a:r>
          <a:endParaRPr lang="en-US" sz="1600" b="1">
            <a:solidFill>
              <a:srgbClr val="733F2C"/>
            </a:solidFill>
            <a:latin typeface="Lucida Sans" panose="020B0602030504020204" pitchFamily="34" charset="0"/>
          </a:endParaRPr>
        </a:p>
      </xdr:txBody>
    </xdr:sp>
    <xdr:clientData/>
  </xdr:oneCellAnchor>
  <xdr:twoCellAnchor editAs="oneCell">
    <xdr:from>
      <xdr:col>0</xdr:col>
      <xdr:colOff>1710072</xdr:colOff>
      <xdr:row>4</xdr:row>
      <xdr:rowOff>115187</xdr:rowOff>
    </xdr:from>
    <xdr:to>
      <xdr:col>0</xdr:col>
      <xdr:colOff>2971535</xdr:colOff>
      <xdr:row>9</xdr:row>
      <xdr:rowOff>28396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5453584-CB99-4384-A6C7-D934A9C8B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0072" y="1435396"/>
          <a:ext cx="1261463" cy="1260000"/>
        </a:xfrm>
        <a:prstGeom prst="rect">
          <a:avLst/>
        </a:pr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2055626</xdr:colOff>
      <xdr:row>26</xdr:row>
      <xdr:rowOff>53162</xdr:rowOff>
    </xdr:from>
    <xdr:to>
      <xdr:col>4</xdr:col>
      <xdr:colOff>2964303</xdr:colOff>
      <xdr:row>29</xdr:row>
      <xdr:rowOff>115186</xdr:rowOff>
    </xdr:to>
    <xdr:pic macro="[0]!ClearvalueALLStatusEmisi">
      <xdr:nvPicPr>
        <xdr:cNvPr id="20" name="Picture 19">
          <a:extLst>
            <a:ext uri="{FF2B5EF4-FFF2-40B4-BE49-F238E27FC236}">
              <a16:creationId xmlns:a16="http://schemas.microsoft.com/office/drawing/2014/main" id="{9A402560-BCD3-464B-9647-785E9721A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5603" y="7185836"/>
          <a:ext cx="908677" cy="91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1763233</xdr:colOff>
      <xdr:row>24</xdr:row>
      <xdr:rowOff>186069</xdr:rowOff>
    </xdr:from>
    <xdr:to>
      <xdr:col>0</xdr:col>
      <xdr:colOff>3012559</xdr:colOff>
      <xdr:row>28</xdr:row>
      <xdr:rowOff>230372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40E5C7-3591-4A12-B8A0-71BAD5C57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233" y="6680790"/>
          <a:ext cx="1249326" cy="1249326"/>
        </a:xfrm>
        <a:prstGeom prst="rect">
          <a:avLst/>
        </a:prstGeom>
      </xdr:spPr>
    </xdr:pic>
    <xdr:clientData/>
  </xdr:twoCellAnchor>
  <xdr:twoCellAnchor editAs="oneCell">
    <xdr:from>
      <xdr:col>0</xdr:col>
      <xdr:colOff>2020184</xdr:colOff>
      <xdr:row>26</xdr:row>
      <xdr:rowOff>159488</xdr:rowOff>
    </xdr:from>
    <xdr:to>
      <xdr:col>0</xdr:col>
      <xdr:colOff>2740184</xdr:colOff>
      <xdr:row>29</xdr:row>
      <xdr:rowOff>36209</xdr:rowOff>
    </xdr:to>
    <xdr:pic macro="[0]!UIReferensi">
      <xdr:nvPicPr>
        <xdr:cNvPr id="22" name="Picture 21">
          <a:extLst>
            <a:ext uri="{FF2B5EF4-FFF2-40B4-BE49-F238E27FC236}">
              <a16:creationId xmlns:a16="http://schemas.microsoft.com/office/drawing/2014/main" id="{A978522A-2C09-4CEC-9BC3-04B3221A2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184" y="7292162"/>
          <a:ext cx="720000" cy="72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28</xdr:row>
      <xdr:rowOff>168351</xdr:rowOff>
    </xdr:from>
    <xdr:to>
      <xdr:col>13</xdr:col>
      <xdr:colOff>141768</xdr:colOff>
      <xdr:row>79</xdr:row>
      <xdr:rowOff>17723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41D94B-BCB5-B2C5-C88B-7B8CB18F4C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303" t="4651" r="31144" b="3088"/>
        <a:stretch/>
      </xdr:blipFill>
      <xdr:spPr>
        <a:xfrm>
          <a:off x="0" y="5387165"/>
          <a:ext cx="6866861" cy="948955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106324</xdr:rowOff>
    </xdr:from>
    <xdr:to>
      <xdr:col>9</xdr:col>
      <xdr:colOff>611371</xdr:colOff>
      <xdr:row>22</xdr:row>
      <xdr:rowOff>153493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02356C5-D9A0-DFD9-7F6D-426ED2CC43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2077" t="34285" r="28819" b="22729"/>
        <a:stretch/>
      </xdr:blipFill>
      <xdr:spPr>
        <a:xfrm>
          <a:off x="0" y="1231603"/>
          <a:ext cx="4890976" cy="302428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106325</xdr:rowOff>
    </xdr:from>
    <xdr:to>
      <xdr:col>9</xdr:col>
      <xdr:colOff>610564</xdr:colOff>
      <xdr:row>28</xdr:row>
      <xdr:rowOff>124046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93A549D-E967-0956-6144-72CC775454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2368" t="34457" r="28916" b="49434"/>
        <a:stretch/>
      </xdr:blipFill>
      <xdr:spPr>
        <a:xfrm>
          <a:off x="0" y="3836581"/>
          <a:ext cx="4890169" cy="1134140"/>
        </a:xfrm>
        <a:prstGeom prst="rect">
          <a:avLst/>
        </a:prstGeom>
      </xdr:spPr>
    </xdr:pic>
    <xdr:clientData/>
  </xdr:twoCellAnchor>
  <xdr:twoCellAnchor editAs="oneCell">
    <xdr:from>
      <xdr:col>15</xdr:col>
      <xdr:colOff>8861</xdr:colOff>
      <xdr:row>6</xdr:row>
      <xdr:rowOff>132907</xdr:rowOff>
    </xdr:from>
    <xdr:to>
      <xdr:col>23</xdr:col>
      <xdr:colOff>26582</xdr:colOff>
      <xdr:row>11</xdr:row>
      <xdr:rowOff>167108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7723A0C-F14E-982F-8403-DF3857E8A3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1969" t="34199" r="13313" b="39699"/>
        <a:stretch/>
      </xdr:blipFill>
      <xdr:spPr>
        <a:xfrm>
          <a:off x="7956698" y="886047"/>
          <a:ext cx="4908698" cy="964550"/>
        </a:xfrm>
        <a:prstGeom prst="rect">
          <a:avLst/>
        </a:prstGeom>
      </xdr:spPr>
    </xdr:pic>
    <xdr:clientData/>
  </xdr:twoCellAnchor>
  <xdr:twoCellAnchor editAs="oneCell">
    <xdr:from>
      <xdr:col>15</xdr:col>
      <xdr:colOff>17721</xdr:colOff>
      <xdr:row>12</xdr:row>
      <xdr:rowOff>88605</xdr:rowOff>
    </xdr:from>
    <xdr:to>
      <xdr:col>23</xdr:col>
      <xdr:colOff>26582</xdr:colOff>
      <xdr:row>18</xdr:row>
      <xdr:rowOff>162056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9E179C0-73F8-55B9-0176-4FD23DCCF0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211" t="34716" r="13361" b="33153"/>
        <a:stretch/>
      </xdr:blipFill>
      <xdr:spPr>
        <a:xfrm>
          <a:off x="7965558" y="1958163"/>
          <a:ext cx="4899838" cy="118986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19</xdr:row>
      <xdr:rowOff>88605</xdr:rowOff>
    </xdr:from>
    <xdr:to>
      <xdr:col>23</xdr:col>
      <xdr:colOff>44303</xdr:colOff>
      <xdr:row>25</xdr:row>
      <xdr:rowOff>161140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9ADE506-CB34-3D4F-CB63-43FD1F0585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2114" t="44710" r="13265" b="23332"/>
        <a:stretch/>
      </xdr:blipFill>
      <xdr:spPr>
        <a:xfrm>
          <a:off x="7947837" y="3260652"/>
          <a:ext cx="4935280" cy="1188954"/>
        </a:xfrm>
        <a:prstGeom prst="rect">
          <a:avLst/>
        </a:prstGeom>
      </xdr:spPr>
    </xdr:pic>
    <xdr:clientData/>
  </xdr:twoCellAnchor>
  <xdr:twoCellAnchor editAs="oneCell">
    <xdr:from>
      <xdr:col>15</xdr:col>
      <xdr:colOff>26582</xdr:colOff>
      <xdr:row>26</xdr:row>
      <xdr:rowOff>88603</xdr:rowOff>
    </xdr:from>
    <xdr:to>
      <xdr:col>23</xdr:col>
      <xdr:colOff>44077</xdr:colOff>
      <xdr:row>30</xdr:row>
      <xdr:rowOff>115185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B82A29D-53EF-452D-D1DF-0508AE69BB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3519" t="50049" r="14282" b="29794"/>
        <a:stretch/>
      </xdr:blipFill>
      <xdr:spPr>
        <a:xfrm>
          <a:off x="7974419" y="4563138"/>
          <a:ext cx="4908472" cy="770861"/>
        </a:xfrm>
        <a:prstGeom prst="rect">
          <a:avLst/>
        </a:prstGeom>
      </xdr:spPr>
    </xdr:pic>
    <xdr:clientData/>
  </xdr:twoCellAnchor>
  <xdr:twoCellAnchor editAs="oneCell">
    <xdr:from>
      <xdr:col>14</xdr:col>
      <xdr:colOff>602513</xdr:colOff>
      <xdr:row>30</xdr:row>
      <xdr:rowOff>159488</xdr:rowOff>
    </xdr:from>
    <xdr:to>
      <xdr:col>23</xdr:col>
      <xdr:colOff>79746</xdr:colOff>
      <xdr:row>37</xdr:row>
      <xdr:rowOff>46154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914AC44-21DF-2BD1-DBA4-C33DA4B389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2162" t="35577" r="13167" b="32722"/>
        <a:stretch/>
      </xdr:blipFill>
      <xdr:spPr>
        <a:xfrm>
          <a:off x="7938978" y="5378302"/>
          <a:ext cx="4979582" cy="1189154"/>
        </a:xfrm>
        <a:prstGeom prst="rect">
          <a:avLst/>
        </a:prstGeom>
      </xdr:spPr>
    </xdr:pic>
    <xdr:clientData/>
  </xdr:twoCellAnchor>
  <xdr:twoCellAnchor editAs="oneCell">
    <xdr:from>
      <xdr:col>15</xdr:col>
      <xdr:colOff>2</xdr:colOff>
      <xdr:row>37</xdr:row>
      <xdr:rowOff>88606</xdr:rowOff>
    </xdr:from>
    <xdr:to>
      <xdr:col>23</xdr:col>
      <xdr:colOff>97465</xdr:colOff>
      <xdr:row>41</xdr:row>
      <xdr:rowOff>179511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5FC089D-F138-82E9-15D2-1B54E05C9A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2162" t="54960" r="13167" b="22815"/>
        <a:stretch/>
      </xdr:blipFill>
      <xdr:spPr>
        <a:xfrm>
          <a:off x="7947839" y="6609908"/>
          <a:ext cx="4988440" cy="835184"/>
        </a:xfrm>
        <a:prstGeom prst="rect">
          <a:avLst/>
        </a:prstGeom>
      </xdr:spPr>
    </xdr:pic>
    <xdr:clientData/>
  </xdr:twoCellAnchor>
  <xdr:twoCellAnchor editAs="oneCell">
    <xdr:from>
      <xdr:col>15</xdr:col>
      <xdr:colOff>35442</xdr:colOff>
      <xdr:row>47</xdr:row>
      <xdr:rowOff>44302</xdr:rowOff>
    </xdr:from>
    <xdr:to>
      <xdr:col>23</xdr:col>
      <xdr:colOff>35443</xdr:colOff>
      <xdr:row>67</xdr:row>
      <xdr:rowOff>58204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F5DEFE6-398B-AC4A-A004-18ABB22E0C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28298" t="25412" r="27413" b="14029"/>
        <a:stretch/>
      </xdr:blipFill>
      <xdr:spPr>
        <a:xfrm>
          <a:off x="8594651" y="9719930"/>
          <a:ext cx="4890978" cy="376187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336695</xdr:colOff>
      <xdr:row>20</xdr:row>
      <xdr:rowOff>141768</xdr:rowOff>
    </xdr:from>
    <xdr:to>
      <xdr:col>13</xdr:col>
      <xdr:colOff>533989</xdr:colOff>
      <xdr:row>28</xdr:row>
      <xdr:rowOff>93210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F736E42-C9F1-AA5B-EB6A-8B43750AD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0416" y="4226442"/>
          <a:ext cx="1420038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265815</xdr:colOff>
      <xdr:row>9</xdr:row>
      <xdr:rowOff>79745</xdr:rowOff>
    </xdr:from>
    <xdr:to>
      <xdr:col>13</xdr:col>
      <xdr:colOff>463108</xdr:colOff>
      <xdr:row>17</xdr:row>
      <xdr:rowOff>31186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66F2757-447E-5294-D8AC-3DD8A6C7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536" y="2117652"/>
          <a:ext cx="1420037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132907</xdr:colOff>
      <xdr:row>18</xdr:row>
      <xdr:rowOff>115186</xdr:rowOff>
    </xdr:from>
    <xdr:to>
      <xdr:col>26</xdr:col>
      <xdr:colOff>327834</xdr:colOff>
      <xdr:row>26</xdr:row>
      <xdr:rowOff>66627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A82DB37-AA05-B71A-4E1C-9D31F8B00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4465" y="3827721"/>
          <a:ext cx="1417671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124048</xdr:colOff>
      <xdr:row>73</xdr:row>
      <xdr:rowOff>124046</xdr:rowOff>
    </xdr:from>
    <xdr:to>
      <xdr:col>26</xdr:col>
      <xdr:colOff>602512</xdr:colOff>
      <xdr:row>79</xdr:row>
      <xdr:rowOff>110574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F87CD88-8FA4-FCF7-2351-0923D7765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6978" y="14221046"/>
          <a:ext cx="1089836" cy="1102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62024</xdr:colOff>
      <xdr:row>52</xdr:row>
      <xdr:rowOff>26581</xdr:rowOff>
    </xdr:from>
    <xdr:to>
      <xdr:col>26</xdr:col>
      <xdr:colOff>264282</xdr:colOff>
      <xdr:row>59</xdr:row>
      <xdr:rowOff>164092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D55CBAB-EEF9-3910-1E4D-E5C4D2AE1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3582" y="10136372"/>
          <a:ext cx="142500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159489</xdr:colOff>
      <xdr:row>2</xdr:row>
      <xdr:rowOff>106326</xdr:rowOff>
    </xdr:from>
    <xdr:to>
      <xdr:col>3</xdr:col>
      <xdr:colOff>268117</xdr:colOff>
      <xdr:row>2</xdr:row>
      <xdr:rowOff>826326</xdr:rowOff>
    </xdr:to>
    <xdr:pic macro="[0]!Backtohome">
      <xdr:nvPicPr>
        <xdr:cNvPr id="19" name="Picture 18">
          <a:extLst>
            <a:ext uri="{FF2B5EF4-FFF2-40B4-BE49-F238E27FC236}">
              <a16:creationId xmlns:a16="http://schemas.microsoft.com/office/drawing/2014/main" id="{FCF9F1A9-E886-47AA-B0FE-BC53E084BB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861" y="513907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283536</xdr:colOff>
      <xdr:row>2</xdr:row>
      <xdr:rowOff>150625</xdr:rowOff>
    </xdr:from>
    <xdr:ext cx="1258185" cy="636072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2D58C35A-E98E-41DE-847D-A7294752E0CB}"/>
            </a:ext>
          </a:extLst>
        </xdr:cNvPr>
        <xdr:cNvSpPr txBox="1"/>
      </xdr:nvSpPr>
      <xdr:spPr>
        <a:xfrm>
          <a:off x="1506280" y="558206"/>
          <a:ext cx="1258185" cy="6360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lang="en-US" sz="1200" b="1">
              <a:solidFill>
                <a:schemeClr val="bg1"/>
              </a:solidFill>
              <a:latin typeface="Lucida Sans" panose="020B0602030504020204" pitchFamily="34" charset="0"/>
            </a:rPr>
            <a:t>Back</a:t>
          </a:r>
          <a:r>
            <a:rPr lang="en-US" sz="1200" b="1" baseline="0">
              <a:solidFill>
                <a:schemeClr val="bg1"/>
              </a:solidFill>
              <a:latin typeface="Lucida Sans" panose="020B0602030504020204" pitchFamily="34" charset="0"/>
            </a:rPr>
            <a:t> to</a:t>
          </a:r>
          <a:br>
            <a:rPr lang="en-US" sz="1600" b="1" baseline="0">
              <a:solidFill>
                <a:schemeClr val="bg1"/>
              </a:solidFill>
              <a:latin typeface="Lucida Sans" panose="020B0602030504020204" pitchFamily="34" charset="0"/>
            </a:rPr>
          </a:br>
          <a:r>
            <a:rPr lang="en-US" sz="2400" b="1" baseline="0">
              <a:solidFill>
                <a:schemeClr val="bg1"/>
              </a:solidFill>
              <a:latin typeface="Lucida Sans" panose="020B0602030504020204" pitchFamily="34" charset="0"/>
            </a:rPr>
            <a:t>HOME</a:t>
          </a:r>
          <a:endParaRPr lang="en-US" sz="1600" b="1">
            <a:solidFill>
              <a:schemeClr val="bg1"/>
            </a:solidFill>
            <a:latin typeface="Lucida Sans" panose="020B0602030504020204" pitchFamily="34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31683-5F4C-4C61-9A64-4249419D307E}">
  <sheetPr codeName="Sheet12"/>
  <dimension ref="B2:J46"/>
  <sheetViews>
    <sheetView showGridLines="0" tabSelected="1" zoomScale="86" zoomScaleNormal="86" workbookViewId="0">
      <pane ySplit="13" topLeftCell="A14" activePane="bottomLeft" state="frozen"/>
      <selection activeCell="A36" sqref="A36"/>
      <selection pane="bottomLeft" activeCell="H12" sqref="H12"/>
    </sheetView>
  </sheetViews>
  <sheetFormatPr defaultRowHeight="14.4" x14ac:dyDescent="0.3"/>
  <cols>
    <col min="1" max="1" width="39" customWidth="1"/>
    <col min="2" max="2" width="4.21875" customWidth="1"/>
    <col min="3" max="5" width="49.109375" customWidth="1"/>
    <col min="6" max="6" width="11.44140625" customWidth="1"/>
    <col min="7" max="7" width="4.33203125" customWidth="1"/>
  </cols>
  <sheetData>
    <row r="2" spans="2:10" x14ac:dyDescent="0.3">
      <c r="B2" s="22"/>
      <c r="C2" s="22"/>
      <c r="D2" s="22"/>
      <c r="E2" s="22"/>
      <c r="F2" s="22"/>
      <c r="G2" s="22"/>
    </row>
    <row r="3" spans="2:10" ht="56.4" customHeight="1" x14ac:dyDescent="0.3">
      <c r="B3" s="22"/>
      <c r="C3" s="23"/>
      <c r="D3" s="23"/>
      <c r="E3" s="23"/>
      <c r="F3" s="23"/>
      <c r="G3" s="22"/>
    </row>
    <row r="4" spans="2:10" ht="56.4" customHeight="1" x14ac:dyDescent="0.3">
      <c r="B4" s="22"/>
      <c r="C4" s="23"/>
      <c r="D4" s="23"/>
      <c r="E4" s="23"/>
      <c r="F4" s="23"/>
    </row>
    <row r="5" spans="2:10" ht="56.4" customHeight="1" x14ac:dyDescent="0.3">
      <c r="B5" s="22"/>
      <c r="C5" s="155"/>
      <c r="D5" s="155"/>
      <c r="E5" s="155"/>
      <c r="F5" s="155"/>
      <c r="G5" s="22"/>
    </row>
    <row r="6" spans="2:10" ht="56.4" customHeight="1" x14ac:dyDescent="0.3">
      <c r="B6" s="22"/>
      <c r="C6" s="156" t="s">
        <v>216</v>
      </c>
      <c r="D6" s="156"/>
      <c r="E6" s="156"/>
      <c r="F6" s="156"/>
      <c r="G6" s="22"/>
    </row>
    <row r="7" spans="2:10" ht="56.4" customHeight="1" x14ac:dyDescent="0.3">
      <c r="B7" s="22"/>
      <c r="C7" s="23"/>
      <c r="D7" s="23"/>
      <c r="E7" s="23"/>
      <c r="F7" s="23"/>
      <c r="G7" s="22"/>
    </row>
    <row r="8" spans="2:10" ht="56.4" customHeight="1" x14ac:dyDescent="0.3">
      <c r="B8" s="22"/>
      <c r="C8" s="23"/>
      <c r="D8" s="23"/>
      <c r="E8" s="23"/>
      <c r="F8" s="23"/>
      <c r="G8" s="22"/>
    </row>
    <row r="9" spans="2:10" ht="56.4" customHeight="1" x14ac:dyDescent="0.3">
      <c r="B9" s="22"/>
      <c r="C9" s="23"/>
      <c r="D9" s="23"/>
      <c r="E9" s="23"/>
      <c r="F9" s="23"/>
      <c r="G9" s="22"/>
    </row>
    <row r="10" spans="2:10" ht="16.8" customHeight="1" x14ac:dyDescent="0.3">
      <c r="B10" s="22"/>
      <c r="C10" s="22"/>
      <c r="D10" s="22"/>
      <c r="E10" s="22"/>
      <c r="F10" s="22"/>
      <c r="G10" s="22"/>
      <c r="H10" s="55" t="s">
        <v>381</v>
      </c>
    </row>
    <row r="11" spans="2:10" ht="18" customHeight="1" x14ac:dyDescent="0.3">
      <c r="B11" s="22"/>
      <c r="C11" s="22"/>
      <c r="D11" s="22"/>
      <c r="E11" s="22"/>
      <c r="F11" s="22"/>
      <c r="G11" s="22"/>
      <c r="H11" s="130" t="s">
        <v>382</v>
      </c>
      <c r="I11" s="14"/>
      <c r="J11" s="14"/>
    </row>
    <row r="12" spans="2:10" x14ac:dyDescent="0.3">
      <c r="H12" s="130" t="s">
        <v>383</v>
      </c>
    </row>
    <row r="13" spans="2:10" ht="5.4" customHeight="1" x14ac:dyDescent="0.3">
      <c r="H13" s="130"/>
    </row>
    <row r="14" spans="2:10" ht="9.6" customHeight="1" x14ac:dyDescent="0.3"/>
    <row r="25" hidden="1" x14ac:dyDescent="0.3"/>
    <row r="26" hidden="1" x14ac:dyDescent="0.3"/>
    <row r="27" hidden="1" x14ac:dyDescent="0.3"/>
    <row r="28" hidden="1" x14ac:dyDescent="0.3"/>
    <row r="29" hidden="1" x14ac:dyDescent="0.3"/>
    <row r="30" hidden="1" x14ac:dyDescent="0.3"/>
    <row r="31" hidden="1" x14ac:dyDescent="0.3"/>
    <row r="32" hidden="1" x14ac:dyDescent="0.3"/>
    <row r="33" hidden="1" x14ac:dyDescent="0.3"/>
    <row r="34" hidden="1" x14ac:dyDescent="0.3"/>
    <row r="35" hidden="1" x14ac:dyDescent="0.3"/>
    <row r="36" hidden="1" x14ac:dyDescent="0.3"/>
    <row r="37" hidden="1" x14ac:dyDescent="0.3"/>
    <row r="38" hidden="1" x14ac:dyDescent="0.3"/>
    <row r="39" hidden="1" x14ac:dyDescent="0.3"/>
    <row r="40" hidden="1" x14ac:dyDescent="0.3"/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</sheetData>
  <sheetProtection algorithmName="SHA-512" hashValue="5coWGnd2seHBIv+4Nc3Q03sa4wp4GjjsUiXsOqdSS8q1bp8YsS5JZFoOBk3EGBTQbBC1NRwBcCxArPEP0k9bNA==" saltValue="7yahUUqsmEqOgJQESGxF1g==" spinCount="100000" sheet="1" objects="1" scenarios="1"/>
  <mergeCells count="2">
    <mergeCell ref="C5:F5"/>
    <mergeCell ref="C6:F6"/>
  </mergeCells>
  <pageMargins left="0.7" right="0.7" top="0.75" bottom="0.75" header="0.3" footer="0.3"/>
  <pageSetup orientation="portrait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0E685-220D-40D8-8514-979D80F5AFF7}">
  <sheetPr codeName="Sheet4"/>
  <dimension ref="A1:I111"/>
  <sheetViews>
    <sheetView topLeftCell="A100" workbookViewId="0">
      <selection activeCell="A17" sqref="A17"/>
    </sheetView>
  </sheetViews>
  <sheetFormatPr defaultRowHeight="14.4" x14ac:dyDescent="0.3"/>
  <cols>
    <col min="1" max="1" width="25.21875" bestFit="1" customWidth="1"/>
    <col min="2" max="2" width="24" style="1" customWidth="1"/>
    <col min="3" max="3" width="25.109375" customWidth="1"/>
    <col min="4" max="4" width="17.21875" style="1" customWidth="1"/>
    <col min="5" max="5" width="33.5546875" style="1" customWidth="1"/>
    <col min="6" max="6" width="16" style="1" customWidth="1"/>
    <col min="7" max="7" width="17.21875" style="1" customWidth="1"/>
    <col min="8" max="8" width="16" style="1" customWidth="1"/>
    <col min="9" max="9" width="11.44140625" style="1" customWidth="1"/>
  </cols>
  <sheetData>
    <row r="1" spans="1:9" ht="27" customHeight="1" x14ac:dyDescent="0.3">
      <c r="A1" s="160" t="s">
        <v>38</v>
      </c>
      <c r="B1" s="20" t="s">
        <v>212</v>
      </c>
      <c r="C1" s="160" t="s">
        <v>37</v>
      </c>
      <c r="D1" s="160" t="s">
        <v>137</v>
      </c>
      <c r="E1" s="161" t="s">
        <v>195</v>
      </c>
      <c r="F1" s="161"/>
      <c r="G1" s="160" t="s">
        <v>137</v>
      </c>
      <c r="H1" s="161" t="s">
        <v>35</v>
      </c>
      <c r="I1" s="161"/>
    </row>
    <row r="2" spans="1:9" x14ac:dyDescent="0.3">
      <c r="A2" s="160"/>
      <c r="B2" s="19" t="s">
        <v>302</v>
      </c>
      <c r="C2" s="160"/>
      <c r="D2" s="160"/>
      <c r="E2" s="7" t="s">
        <v>28</v>
      </c>
      <c r="F2" s="7" t="s">
        <v>29</v>
      </c>
      <c r="G2" s="160"/>
      <c r="H2" s="7" t="s">
        <v>28</v>
      </c>
      <c r="I2" s="7" t="s">
        <v>29</v>
      </c>
    </row>
    <row r="3" spans="1:9" x14ac:dyDescent="0.3">
      <c r="A3" s="7"/>
      <c r="B3" s="19"/>
      <c r="C3" s="7"/>
      <c r="D3" s="7"/>
      <c r="E3" s="7"/>
      <c r="F3" s="7"/>
      <c r="G3" s="7"/>
      <c r="H3" s="7"/>
      <c r="I3" s="7"/>
    </row>
    <row r="4" spans="1:9" x14ac:dyDescent="0.3">
      <c r="A4" s="9" t="s">
        <v>386</v>
      </c>
      <c r="B4" s="132" t="s">
        <v>48</v>
      </c>
      <c r="C4" s="134" t="s">
        <v>30</v>
      </c>
      <c r="D4" s="10" t="s">
        <v>115</v>
      </c>
      <c r="E4" s="10" t="s">
        <v>132</v>
      </c>
      <c r="F4" s="10" t="s">
        <v>134</v>
      </c>
      <c r="G4" s="10">
        <f>D4*1000</f>
        <v>770</v>
      </c>
      <c r="H4" s="10">
        <f>E4*1000</f>
        <v>940</v>
      </c>
      <c r="I4" s="10">
        <f>F4*1000</f>
        <v>930</v>
      </c>
    </row>
    <row r="5" spans="1:9" x14ac:dyDescent="0.3">
      <c r="A5" s="3" t="s">
        <v>387</v>
      </c>
      <c r="B5" s="132" t="s">
        <v>50</v>
      </c>
      <c r="C5" s="134" t="s">
        <v>31</v>
      </c>
      <c r="D5" s="10" t="s">
        <v>47</v>
      </c>
      <c r="E5" s="10" t="s">
        <v>94</v>
      </c>
      <c r="F5" s="11" t="s">
        <v>69</v>
      </c>
      <c r="G5" s="10">
        <f t="shared" ref="G5:G25" si="0">D5*1000</f>
        <v>520</v>
      </c>
      <c r="H5" s="10">
        <v>0</v>
      </c>
      <c r="I5" s="10">
        <v>0</v>
      </c>
    </row>
    <row r="6" spans="1:9" x14ac:dyDescent="0.3">
      <c r="A6" s="3" t="s">
        <v>388</v>
      </c>
      <c r="B6" s="132" t="s">
        <v>64</v>
      </c>
      <c r="C6" s="134" t="s">
        <v>32</v>
      </c>
      <c r="D6" s="10" t="s">
        <v>48</v>
      </c>
      <c r="E6" s="11" t="s">
        <v>48</v>
      </c>
      <c r="F6" s="11" t="s">
        <v>75</v>
      </c>
      <c r="G6" s="10">
        <f t="shared" si="0"/>
        <v>590</v>
      </c>
      <c r="H6" s="10">
        <f t="shared" ref="H6:I9" si="1">E6*1000</f>
        <v>590</v>
      </c>
      <c r="I6" s="10">
        <f t="shared" si="1"/>
        <v>880</v>
      </c>
    </row>
    <row r="7" spans="1:9" x14ac:dyDescent="0.3">
      <c r="A7" s="3" t="s">
        <v>389</v>
      </c>
      <c r="B7" s="132" t="s">
        <v>70</v>
      </c>
      <c r="C7" s="134" t="s">
        <v>31</v>
      </c>
      <c r="D7" s="10" t="s">
        <v>50</v>
      </c>
      <c r="E7" s="11" t="s">
        <v>50</v>
      </c>
      <c r="F7" s="11" t="s">
        <v>50</v>
      </c>
      <c r="G7" s="10">
        <f t="shared" si="0"/>
        <v>580</v>
      </c>
      <c r="H7" s="10">
        <f t="shared" si="1"/>
        <v>580</v>
      </c>
      <c r="I7" s="10">
        <f t="shared" si="1"/>
        <v>580</v>
      </c>
    </row>
    <row r="8" spans="1:9" x14ac:dyDescent="0.3">
      <c r="A8" s="3" t="s">
        <v>390</v>
      </c>
      <c r="B8" s="132" t="s">
        <v>71</v>
      </c>
      <c r="C8" s="134" t="s">
        <v>33</v>
      </c>
      <c r="D8" s="10" t="s">
        <v>51</v>
      </c>
      <c r="E8" s="11" t="s">
        <v>64</v>
      </c>
      <c r="F8" s="11" t="s">
        <v>64</v>
      </c>
      <c r="G8" s="10">
        <f t="shared" si="0"/>
        <v>650</v>
      </c>
      <c r="H8" s="10">
        <f t="shared" si="1"/>
        <v>660</v>
      </c>
      <c r="I8" s="10">
        <f t="shared" si="1"/>
        <v>660</v>
      </c>
    </row>
    <row r="9" spans="1:9" x14ac:dyDescent="0.3">
      <c r="A9" s="3" t="s">
        <v>458</v>
      </c>
      <c r="B9" s="132" t="s">
        <v>72</v>
      </c>
      <c r="C9" s="134" t="s">
        <v>36</v>
      </c>
      <c r="D9" s="10" t="s">
        <v>54</v>
      </c>
      <c r="E9" s="11" t="s">
        <v>70</v>
      </c>
      <c r="F9" s="12" t="s">
        <v>75</v>
      </c>
      <c r="G9" s="10">
        <f t="shared" si="0"/>
        <v>1040</v>
      </c>
      <c r="H9" s="10">
        <f t="shared" si="1"/>
        <v>890</v>
      </c>
      <c r="I9" s="10">
        <f t="shared" si="1"/>
        <v>880</v>
      </c>
    </row>
    <row r="10" spans="1:9" x14ac:dyDescent="0.3">
      <c r="A10" s="3" t="s">
        <v>391</v>
      </c>
      <c r="B10" s="132" t="s">
        <v>73</v>
      </c>
      <c r="C10" s="134" t="s">
        <v>36</v>
      </c>
      <c r="D10" s="10" t="s">
        <v>93</v>
      </c>
      <c r="E10" s="10" t="s">
        <v>94</v>
      </c>
      <c r="F10" s="10" t="s">
        <v>94</v>
      </c>
      <c r="G10" s="10">
        <f t="shared" si="0"/>
        <v>800</v>
      </c>
      <c r="H10" s="10">
        <f t="shared" ref="H10:I16" si="2">E10*1000</f>
        <v>870</v>
      </c>
      <c r="I10" s="10">
        <f t="shared" si="2"/>
        <v>870</v>
      </c>
    </row>
    <row r="11" spans="1:9" x14ac:dyDescent="0.3">
      <c r="A11" s="3" t="s">
        <v>392</v>
      </c>
      <c r="B11" s="132" t="s">
        <v>74</v>
      </c>
      <c r="C11" s="134" t="s">
        <v>39</v>
      </c>
      <c r="D11" s="10" t="s">
        <v>56</v>
      </c>
      <c r="E11" s="11" t="s">
        <v>71</v>
      </c>
      <c r="F11" s="12" t="s">
        <v>76</v>
      </c>
      <c r="G11" s="10">
        <f t="shared" si="0"/>
        <v>1200</v>
      </c>
      <c r="H11" s="10">
        <f t="shared" si="2"/>
        <v>1310</v>
      </c>
      <c r="I11" s="10">
        <f t="shared" si="2"/>
        <v>1280</v>
      </c>
    </row>
    <row r="12" spans="1:9" x14ac:dyDescent="0.3">
      <c r="A12" s="3" t="s">
        <v>393</v>
      </c>
      <c r="B12" s="132" t="s">
        <v>60</v>
      </c>
      <c r="C12" s="134" t="s">
        <v>40</v>
      </c>
      <c r="D12" s="10" t="s">
        <v>57</v>
      </c>
      <c r="E12" s="11" t="s">
        <v>72</v>
      </c>
      <c r="F12" s="12" t="s">
        <v>77</v>
      </c>
      <c r="G12" s="10">
        <f t="shared" si="0"/>
        <v>760</v>
      </c>
      <c r="H12" s="10">
        <f t="shared" si="2"/>
        <v>820</v>
      </c>
      <c r="I12" s="10">
        <f t="shared" si="2"/>
        <v>850</v>
      </c>
    </row>
    <row r="13" spans="1:9" x14ac:dyDescent="0.3">
      <c r="A13" s="3" t="s">
        <v>394</v>
      </c>
      <c r="B13" s="132" t="s">
        <v>62</v>
      </c>
      <c r="C13" s="134" t="s">
        <v>41</v>
      </c>
      <c r="D13" s="10" t="s">
        <v>58</v>
      </c>
      <c r="E13" s="12" t="s">
        <v>73</v>
      </c>
      <c r="F13" s="12" t="s">
        <v>53</v>
      </c>
      <c r="G13" s="10">
        <f t="shared" si="0"/>
        <v>970</v>
      </c>
      <c r="H13" s="10">
        <f t="shared" si="2"/>
        <v>740</v>
      </c>
      <c r="I13" s="10">
        <f t="shared" si="2"/>
        <v>670</v>
      </c>
    </row>
    <row r="14" spans="1:9" x14ac:dyDescent="0.3">
      <c r="A14" s="3" t="s">
        <v>459</v>
      </c>
      <c r="B14" s="132" t="s">
        <v>68</v>
      </c>
      <c r="C14" s="134" t="s">
        <v>32</v>
      </c>
      <c r="D14" s="10" t="s">
        <v>59</v>
      </c>
      <c r="E14" s="12" t="s">
        <v>74</v>
      </c>
      <c r="F14" s="12" t="s">
        <v>78</v>
      </c>
      <c r="G14" s="10">
        <f t="shared" si="0"/>
        <v>1400</v>
      </c>
      <c r="H14" s="10">
        <f t="shared" si="2"/>
        <v>1410</v>
      </c>
      <c r="I14" s="10">
        <f t="shared" si="2"/>
        <v>1460</v>
      </c>
    </row>
    <row r="15" spans="1:9" x14ac:dyDescent="0.3">
      <c r="A15" s="3" t="s">
        <v>395</v>
      </c>
      <c r="B15" s="132" t="s">
        <v>67</v>
      </c>
      <c r="C15" s="134" t="s">
        <v>34</v>
      </c>
      <c r="D15" s="10" t="s">
        <v>60</v>
      </c>
      <c r="E15" s="12" t="s">
        <v>60</v>
      </c>
      <c r="F15" s="12" t="s">
        <v>60</v>
      </c>
      <c r="G15" s="10">
        <f t="shared" si="0"/>
        <v>10</v>
      </c>
      <c r="H15" s="10">
        <f t="shared" si="2"/>
        <v>10</v>
      </c>
      <c r="I15" s="10">
        <f t="shared" si="2"/>
        <v>10</v>
      </c>
    </row>
    <row r="16" spans="1:9" x14ac:dyDescent="0.3">
      <c r="A16" s="9" t="s">
        <v>396</v>
      </c>
      <c r="B16" s="132" t="s">
        <v>67</v>
      </c>
      <c r="C16" s="134" t="s">
        <v>39</v>
      </c>
      <c r="D16" s="10" t="s">
        <v>115</v>
      </c>
      <c r="E16" s="10" t="s">
        <v>132</v>
      </c>
      <c r="F16" s="10" t="s">
        <v>134</v>
      </c>
      <c r="G16" s="10">
        <f t="shared" si="0"/>
        <v>770</v>
      </c>
      <c r="H16" s="10">
        <f t="shared" si="2"/>
        <v>940</v>
      </c>
      <c r="I16" s="10">
        <f t="shared" si="2"/>
        <v>930</v>
      </c>
    </row>
    <row r="17" spans="1:9" x14ac:dyDescent="0.3">
      <c r="A17" s="3" t="s">
        <v>397</v>
      </c>
      <c r="B17" s="132" t="s">
        <v>51</v>
      </c>
      <c r="C17" s="134" t="s">
        <v>42</v>
      </c>
      <c r="D17" s="10" t="s">
        <v>62</v>
      </c>
      <c r="E17" s="12" t="s">
        <v>62</v>
      </c>
      <c r="F17" s="12" t="s">
        <v>52</v>
      </c>
      <c r="G17" s="10">
        <f t="shared" si="0"/>
        <v>570</v>
      </c>
      <c r="H17" s="10">
        <f>E17*1000</f>
        <v>570</v>
      </c>
      <c r="I17" s="10">
        <f>F17*1000</f>
        <v>610</v>
      </c>
    </row>
    <row r="18" spans="1:9" x14ac:dyDescent="0.3">
      <c r="A18" s="3" t="s">
        <v>398</v>
      </c>
      <c r="B18" s="132" t="s">
        <v>53</v>
      </c>
      <c r="C18" s="134" t="s">
        <v>43</v>
      </c>
      <c r="D18" s="10" t="s">
        <v>65</v>
      </c>
      <c r="E18" s="12" t="s">
        <v>68</v>
      </c>
      <c r="F18" s="12" t="s">
        <v>62</v>
      </c>
      <c r="G18" s="10">
        <f t="shared" si="0"/>
        <v>560</v>
      </c>
      <c r="H18" s="10">
        <f t="shared" ref="H18:I20" si="3">E18*1000</f>
        <v>550</v>
      </c>
      <c r="I18" s="10">
        <f t="shared" si="3"/>
        <v>570</v>
      </c>
    </row>
    <row r="19" spans="1:9" x14ac:dyDescent="0.3">
      <c r="A19" s="3" t="s">
        <v>460</v>
      </c>
      <c r="B19" s="132" t="s">
        <v>80</v>
      </c>
      <c r="C19" s="134" t="s">
        <v>44</v>
      </c>
      <c r="D19" s="10" t="s">
        <v>66</v>
      </c>
      <c r="E19" s="12" t="s">
        <v>67</v>
      </c>
      <c r="F19" s="12" t="s">
        <v>67</v>
      </c>
      <c r="G19" s="10">
        <f t="shared" si="0"/>
        <v>700</v>
      </c>
      <c r="H19" s="10">
        <f t="shared" si="3"/>
        <v>710</v>
      </c>
      <c r="I19" s="10">
        <f t="shared" si="3"/>
        <v>710</v>
      </c>
    </row>
    <row r="20" spans="1:9" x14ac:dyDescent="0.3">
      <c r="A20" s="3" t="s">
        <v>399</v>
      </c>
      <c r="B20" s="132" t="s">
        <v>63</v>
      </c>
      <c r="C20" s="134" t="s">
        <v>45</v>
      </c>
      <c r="D20" s="10" t="s">
        <v>67</v>
      </c>
      <c r="E20" s="12" t="s">
        <v>67</v>
      </c>
      <c r="F20" s="12" t="s">
        <v>53</v>
      </c>
      <c r="G20" s="10">
        <f t="shared" si="0"/>
        <v>710</v>
      </c>
      <c r="H20" s="10">
        <f t="shared" si="3"/>
        <v>710</v>
      </c>
      <c r="I20" s="10">
        <f t="shared" si="3"/>
        <v>670</v>
      </c>
    </row>
    <row r="21" spans="1:9" x14ac:dyDescent="0.3">
      <c r="A21" s="3" t="s">
        <v>400</v>
      </c>
      <c r="B21" s="132" t="s">
        <v>81</v>
      </c>
      <c r="C21" s="134" t="s">
        <v>43</v>
      </c>
      <c r="D21" s="10" t="s">
        <v>51</v>
      </c>
      <c r="E21" s="12" t="s">
        <v>51</v>
      </c>
      <c r="F21" s="12" t="s">
        <v>67</v>
      </c>
      <c r="G21" s="10">
        <f t="shared" si="0"/>
        <v>650</v>
      </c>
      <c r="H21" s="10">
        <f>E21*1000</f>
        <v>650</v>
      </c>
      <c r="I21" s="10">
        <f>F21*1000</f>
        <v>710</v>
      </c>
    </row>
    <row r="22" spans="1:9" x14ac:dyDescent="0.3">
      <c r="A22" s="3" t="s">
        <v>461</v>
      </c>
      <c r="B22" s="132" t="s">
        <v>84</v>
      </c>
      <c r="C22" s="134" t="s">
        <v>46</v>
      </c>
      <c r="D22" s="10" t="s">
        <v>53</v>
      </c>
      <c r="E22" s="12" t="s">
        <v>53</v>
      </c>
      <c r="F22" s="12" t="s">
        <v>61</v>
      </c>
      <c r="G22" s="10">
        <f t="shared" si="0"/>
        <v>670</v>
      </c>
      <c r="H22" s="10">
        <f>E22*1000</f>
        <v>670</v>
      </c>
      <c r="I22" s="10">
        <f>F22*1000</f>
        <v>690</v>
      </c>
    </row>
    <row r="23" spans="1:9" x14ac:dyDescent="0.3">
      <c r="A23" s="3" t="s">
        <v>401</v>
      </c>
      <c r="B23" s="132" t="s">
        <v>63</v>
      </c>
      <c r="C23" s="134" t="s">
        <v>36</v>
      </c>
      <c r="D23" s="10" t="s">
        <v>80</v>
      </c>
      <c r="E23" s="12" t="s">
        <v>80</v>
      </c>
      <c r="F23" s="12" t="s">
        <v>69</v>
      </c>
      <c r="G23" s="10">
        <f t="shared" si="0"/>
        <v>480</v>
      </c>
      <c r="H23" s="10">
        <f t="shared" ref="H23:H31" si="4">E23*1000</f>
        <v>480</v>
      </c>
      <c r="I23" s="10">
        <v>0</v>
      </c>
    </row>
    <row r="24" spans="1:9" x14ac:dyDescent="0.3">
      <c r="A24" s="3" t="s">
        <v>402</v>
      </c>
      <c r="B24" s="132" t="s">
        <v>55</v>
      </c>
      <c r="C24" s="134" t="s">
        <v>33</v>
      </c>
      <c r="D24" s="10" t="s">
        <v>63</v>
      </c>
      <c r="E24" s="12" t="s">
        <v>63</v>
      </c>
      <c r="F24" s="12" t="s">
        <v>85</v>
      </c>
      <c r="G24" s="10">
        <f t="shared" si="0"/>
        <v>600</v>
      </c>
      <c r="H24" s="10">
        <f t="shared" si="4"/>
        <v>600</v>
      </c>
      <c r="I24" s="10">
        <f t="shared" ref="I24:I31" si="5">F24*1000</f>
        <v>630</v>
      </c>
    </row>
    <row r="25" spans="1:9" x14ac:dyDescent="0.3">
      <c r="A25" s="3" t="s">
        <v>87</v>
      </c>
      <c r="B25" s="132" t="s">
        <v>94</v>
      </c>
      <c r="C25" s="134" t="s">
        <v>45</v>
      </c>
      <c r="D25" s="10" t="s">
        <v>93</v>
      </c>
      <c r="E25" s="10" t="s">
        <v>94</v>
      </c>
      <c r="F25" s="10" t="s">
        <v>94</v>
      </c>
      <c r="G25" s="10">
        <f t="shared" si="0"/>
        <v>800</v>
      </c>
      <c r="H25" s="10">
        <f t="shared" si="4"/>
        <v>870</v>
      </c>
      <c r="I25" s="10">
        <f t="shared" si="5"/>
        <v>870</v>
      </c>
    </row>
    <row r="26" spans="1:9" x14ac:dyDescent="0.3">
      <c r="A26" s="3" t="s">
        <v>463</v>
      </c>
      <c r="B26" s="132" t="s">
        <v>94</v>
      </c>
      <c r="C26" s="134" t="s">
        <v>33</v>
      </c>
      <c r="D26" s="10" t="s">
        <v>93</v>
      </c>
      <c r="E26" s="10" t="s">
        <v>94</v>
      </c>
      <c r="F26" s="10" t="s">
        <v>94</v>
      </c>
      <c r="G26" s="10">
        <f t="shared" ref="G26:G48" si="6">D26*1000</f>
        <v>800</v>
      </c>
      <c r="H26" s="10">
        <f t="shared" si="4"/>
        <v>870</v>
      </c>
      <c r="I26" s="10">
        <f t="shared" si="5"/>
        <v>870</v>
      </c>
    </row>
    <row r="27" spans="1:9" x14ac:dyDescent="0.3">
      <c r="A27" s="3" t="s">
        <v>89</v>
      </c>
      <c r="B27" s="132" t="s">
        <v>94</v>
      </c>
      <c r="C27" s="134" t="s">
        <v>43</v>
      </c>
      <c r="D27" s="10" t="s">
        <v>81</v>
      </c>
      <c r="E27" s="12" t="s">
        <v>81</v>
      </c>
      <c r="F27" s="12" t="s">
        <v>63</v>
      </c>
      <c r="G27" s="10">
        <f t="shared" si="6"/>
        <v>540</v>
      </c>
      <c r="H27" s="10">
        <f t="shared" si="4"/>
        <v>540</v>
      </c>
      <c r="I27" s="10">
        <f t="shared" si="5"/>
        <v>600</v>
      </c>
    </row>
    <row r="28" spans="1:9" x14ac:dyDescent="0.3">
      <c r="A28" s="3" t="s">
        <v>90</v>
      </c>
      <c r="B28" s="132" t="s">
        <v>94</v>
      </c>
      <c r="C28" s="134" t="s">
        <v>36</v>
      </c>
      <c r="D28" s="10" t="s">
        <v>82</v>
      </c>
      <c r="E28" s="10" t="s">
        <v>84</v>
      </c>
      <c r="F28" s="10" t="s">
        <v>86</v>
      </c>
      <c r="G28" s="10">
        <f t="shared" si="6"/>
        <v>1080</v>
      </c>
      <c r="H28" s="10">
        <f t="shared" si="4"/>
        <v>1030</v>
      </c>
      <c r="I28" s="10">
        <f t="shared" si="5"/>
        <v>1120</v>
      </c>
    </row>
    <row r="29" spans="1:9" x14ac:dyDescent="0.3">
      <c r="A29" s="9" t="s">
        <v>462</v>
      </c>
      <c r="B29" s="132" t="s">
        <v>94</v>
      </c>
      <c r="C29" s="134" t="s">
        <v>36</v>
      </c>
      <c r="D29" s="10" t="s">
        <v>53</v>
      </c>
      <c r="E29" s="10" t="s">
        <v>113</v>
      </c>
      <c r="F29" s="10" t="s">
        <v>113</v>
      </c>
      <c r="G29" s="10">
        <f t="shared" si="6"/>
        <v>670</v>
      </c>
      <c r="H29" s="10">
        <f t="shared" si="4"/>
        <v>780</v>
      </c>
      <c r="I29" s="10">
        <f t="shared" si="5"/>
        <v>780</v>
      </c>
    </row>
    <row r="30" spans="1:9" x14ac:dyDescent="0.3">
      <c r="A30" s="3" t="s">
        <v>92</v>
      </c>
      <c r="B30" s="132" t="s">
        <v>94</v>
      </c>
      <c r="C30" s="134" t="s">
        <v>42</v>
      </c>
      <c r="D30" s="10" t="s">
        <v>63</v>
      </c>
      <c r="E30" s="10" t="s">
        <v>63</v>
      </c>
      <c r="F30" s="10" t="s">
        <v>55</v>
      </c>
      <c r="G30" s="10">
        <f t="shared" si="6"/>
        <v>600</v>
      </c>
      <c r="H30" s="10">
        <f t="shared" si="4"/>
        <v>600</v>
      </c>
      <c r="I30" s="10">
        <f t="shared" si="5"/>
        <v>640</v>
      </c>
    </row>
    <row r="31" spans="1:9" x14ac:dyDescent="0.3">
      <c r="A31" s="3" t="s">
        <v>403</v>
      </c>
      <c r="B31" s="132" t="s">
        <v>96</v>
      </c>
      <c r="C31" s="134" t="s">
        <v>32</v>
      </c>
      <c r="D31" s="10" t="s">
        <v>55</v>
      </c>
      <c r="E31" s="10" t="s">
        <v>55</v>
      </c>
      <c r="F31" s="10" t="s">
        <v>61</v>
      </c>
      <c r="G31" s="10">
        <f t="shared" si="6"/>
        <v>640</v>
      </c>
      <c r="H31" s="10">
        <f t="shared" si="4"/>
        <v>640</v>
      </c>
      <c r="I31" s="10">
        <f t="shared" si="5"/>
        <v>690</v>
      </c>
    </row>
    <row r="32" spans="1:9" x14ac:dyDescent="0.3">
      <c r="A32" s="9" t="s">
        <v>404</v>
      </c>
      <c r="B32" s="132" t="s">
        <v>49</v>
      </c>
      <c r="C32" s="134" t="s">
        <v>43</v>
      </c>
      <c r="D32" s="10" t="s">
        <v>115</v>
      </c>
      <c r="E32" s="10" t="s">
        <v>132</v>
      </c>
      <c r="F32" s="10" t="s">
        <v>134</v>
      </c>
      <c r="G32" s="10">
        <f t="shared" si="6"/>
        <v>770</v>
      </c>
      <c r="H32" s="10">
        <f t="shared" ref="H32:I36" si="7">E32*1000</f>
        <v>940</v>
      </c>
      <c r="I32" s="10">
        <f t="shared" si="7"/>
        <v>930</v>
      </c>
    </row>
    <row r="33" spans="1:9" x14ac:dyDescent="0.3">
      <c r="A33" s="3" t="s">
        <v>405</v>
      </c>
      <c r="B33" s="132" t="s">
        <v>102</v>
      </c>
      <c r="C33" s="134" t="s">
        <v>33</v>
      </c>
      <c r="D33" s="10" t="s">
        <v>93</v>
      </c>
      <c r="E33" s="10" t="s">
        <v>94</v>
      </c>
      <c r="F33" s="10" t="s">
        <v>94</v>
      </c>
      <c r="G33" s="10">
        <f t="shared" si="6"/>
        <v>800</v>
      </c>
      <c r="H33" s="10">
        <f t="shared" si="7"/>
        <v>870</v>
      </c>
      <c r="I33" s="10">
        <f t="shared" si="7"/>
        <v>870</v>
      </c>
    </row>
    <row r="34" spans="1:9" x14ac:dyDescent="0.3">
      <c r="A34" s="3" t="s">
        <v>406</v>
      </c>
      <c r="B34" s="132" t="s">
        <v>57</v>
      </c>
      <c r="C34" s="134" t="s">
        <v>32</v>
      </c>
      <c r="D34" s="10" t="s">
        <v>93</v>
      </c>
      <c r="E34" s="10" t="s">
        <v>94</v>
      </c>
      <c r="F34" s="10" t="s">
        <v>94</v>
      </c>
      <c r="G34" s="10">
        <f t="shared" si="6"/>
        <v>800</v>
      </c>
      <c r="H34" s="10">
        <f t="shared" si="7"/>
        <v>870</v>
      </c>
      <c r="I34" s="10">
        <f t="shared" si="7"/>
        <v>870</v>
      </c>
    </row>
    <row r="35" spans="1:9" x14ac:dyDescent="0.3">
      <c r="A35" s="3" t="s">
        <v>476</v>
      </c>
      <c r="B35" s="132" t="s">
        <v>103</v>
      </c>
      <c r="C35" s="134" t="s">
        <v>31</v>
      </c>
      <c r="D35" s="10" t="s">
        <v>93</v>
      </c>
      <c r="E35" s="10" t="s">
        <v>94</v>
      </c>
      <c r="F35" s="10" t="s">
        <v>94</v>
      </c>
      <c r="G35" s="10">
        <f t="shared" si="6"/>
        <v>800</v>
      </c>
      <c r="H35" s="10">
        <f t="shared" si="7"/>
        <v>870</v>
      </c>
      <c r="I35" s="10">
        <f t="shared" si="7"/>
        <v>870</v>
      </c>
    </row>
    <row r="36" spans="1:9" x14ac:dyDescent="0.3">
      <c r="A36" s="3" t="s">
        <v>407</v>
      </c>
      <c r="B36" s="132" t="s">
        <v>52</v>
      </c>
      <c r="C36" s="134" t="s">
        <v>33</v>
      </c>
      <c r="D36" s="10" t="s">
        <v>95</v>
      </c>
      <c r="E36" s="10" t="s">
        <v>96</v>
      </c>
      <c r="F36" s="10" t="s">
        <v>65</v>
      </c>
      <c r="G36" s="10">
        <f t="shared" si="6"/>
        <v>500</v>
      </c>
      <c r="H36" s="10">
        <f t="shared" si="7"/>
        <v>510</v>
      </c>
      <c r="I36" s="10">
        <f t="shared" si="7"/>
        <v>560</v>
      </c>
    </row>
    <row r="37" spans="1:9" x14ac:dyDescent="0.3">
      <c r="A37" s="3" t="s">
        <v>408</v>
      </c>
      <c r="B37" s="132" t="s">
        <v>62</v>
      </c>
      <c r="C37" s="134" t="s">
        <v>33</v>
      </c>
      <c r="D37" s="10" t="s">
        <v>81</v>
      </c>
      <c r="E37" s="10" t="s">
        <v>49</v>
      </c>
      <c r="F37" s="10" t="s">
        <v>69</v>
      </c>
      <c r="G37" s="10">
        <f t="shared" si="6"/>
        <v>540</v>
      </c>
      <c r="H37" s="10">
        <f>E37*1000</f>
        <v>530</v>
      </c>
      <c r="I37" s="10">
        <v>0</v>
      </c>
    </row>
    <row r="38" spans="1:9" x14ac:dyDescent="0.3">
      <c r="A38" s="3" t="s">
        <v>409</v>
      </c>
      <c r="B38" s="132" t="s">
        <v>48</v>
      </c>
      <c r="C38" s="134" t="s">
        <v>43</v>
      </c>
      <c r="D38" s="10" t="s">
        <v>94</v>
      </c>
      <c r="E38" s="10" t="s">
        <v>102</v>
      </c>
      <c r="F38" s="10" t="s">
        <v>82</v>
      </c>
      <c r="G38" s="10">
        <f t="shared" si="6"/>
        <v>870</v>
      </c>
      <c r="H38" s="10">
        <f t="shared" ref="H38:H47" si="8">E38*1000</f>
        <v>1020</v>
      </c>
      <c r="I38" s="10">
        <f t="shared" ref="I38:I47" si="9">F38*1000</f>
        <v>1080</v>
      </c>
    </row>
    <row r="39" spans="1:9" x14ac:dyDescent="0.3">
      <c r="A39" s="3" t="s">
        <v>410</v>
      </c>
      <c r="B39" s="132" t="s">
        <v>104</v>
      </c>
      <c r="C39" s="134" t="s">
        <v>40</v>
      </c>
      <c r="D39" s="10" t="s">
        <v>57</v>
      </c>
      <c r="E39" s="10" t="s">
        <v>57</v>
      </c>
      <c r="F39" s="10" t="s">
        <v>107</v>
      </c>
      <c r="G39" s="10">
        <f t="shared" si="6"/>
        <v>760</v>
      </c>
      <c r="H39" s="10">
        <f t="shared" si="8"/>
        <v>760</v>
      </c>
      <c r="I39" s="10">
        <f t="shared" si="9"/>
        <v>860</v>
      </c>
    </row>
    <row r="40" spans="1:9" x14ac:dyDescent="0.3">
      <c r="A40" s="3" t="s">
        <v>411</v>
      </c>
      <c r="B40" s="132" t="s">
        <v>66</v>
      </c>
      <c r="C40" s="134" t="s">
        <v>43</v>
      </c>
      <c r="D40" s="10" t="s">
        <v>98</v>
      </c>
      <c r="E40" s="10" t="s">
        <v>103</v>
      </c>
      <c r="F40" s="10" t="s">
        <v>74</v>
      </c>
      <c r="G40" s="10">
        <f t="shared" si="6"/>
        <v>1670</v>
      </c>
      <c r="H40" s="10">
        <f t="shared" si="8"/>
        <v>1630</v>
      </c>
      <c r="I40" s="10">
        <f t="shared" si="9"/>
        <v>1410</v>
      </c>
    </row>
    <row r="41" spans="1:9" x14ac:dyDescent="0.3">
      <c r="A41" s="3" t="s">
        <v>412</v>
      </c>
      <c r="B41" s="133" t="s">
        <v>48</v>
      </c>
      <c r="C41" s="135" t="s">
        <v>87</v>
      </c>
      <c r="D41" s="10" t="s">
        <v>52</v>
      </c>
      <c r="E41" s="10" t="s">
        <v>52</v>
      </c>
      <c r="F41" s="10" t="s">
        <v>51</v>
      </c>
      <c r="G41" s="10">
        <f t="shared" si="6"/>
        <v>610</v>
      </c>
      <c r="H41" s="10">
        <f t="shared" si="8"/>
        <v>610</v>
      </c>
      <c r="I41" s="10">
        <f t="shared" si="9"/>
        <v>650</v>
      </c>
    </row>
    <row r="42" spans="1:9" x14ac:dyDescent="0.3">
      <c r="A42" s="3" t="s">
        <v>413</v>
      </c>
      <c r="B42" s="133" t="s">
        <v>105</v>
      </c>
      <c r="C42" s="135" t="s">
        <v>88</v>
      </c>
      <c r="D42" s="10" t="s">
        <v>62</v>
      </c>
      <c r="E42" s="10" t="s">
        <v>62</v>
      </c>
      <c r="F42" s="10" t="s">
        <v>66</v>
      </c>
      <c r="G42" s="10">
        <f t="shared" si="6"/>
        <v>570</v>
      </c>
      <c r="H42" s="10">
        <f t="shared" si="8"/>
        <v>570</v>
      </c>
      <c r="I42" s="10">
        <f t="shared" si="9"/>
        <v>700</v>
      </c>
    </row>
    <row r="43" spans="1:9" x14ac:dyDescent="0.3">
      <c r="A43" s="3" t="s">
        <v>464</v>
      </c>
      <c r="B43" s="133" t="s">
        <v>81</v>
      </c>
      <c r="C43" s="135" t="s">
        <v>89</v>
      </c>
      <c r="D43" s="10" t="s">
        <v>48</v>
      </c>
      <c r="E43" s="10" t="s">
        <v>48</v>
      </c>
      <c r="F43" s="10" t="s">
        <v>64</v>
      </c>
      <c r="G43" s="10">
        <f t="shared" si="6"/>
        <v>590</v>
      </c>
      <c r="H43" s="10">
        <f t="shared" si="8"/>
        <v>590</v>
      </c>
      <c r="I43" s="10">
        <f t="shared" si="9"/>
        <v>660</v>
      </c>
    </row>
    <row r="44" spans="1:9" x14ac:dyDescent="0.3">
      <c r="A44" s="3" t="s">
        <v>414</v>
      </c>
      <c r="B44" s="133" t="s">
        <v>53</v>
      </c>
      <c r="C44" s="135" t="s">
        <v>90</v>
      </c>
      <c r="D44" s="10" t="s">
        <v>99</v>
      </c>
      <c r="E44" s="10" t="s">
        <v>104</v>
      </c>
      <c r="F44" s="10" t="s">
        <v>95</v>
      </c>
      <c r="G44" s="10">
        <f t="shared" si="6"/>
        <v>370</v>
      </c>
      <c r="H44" s="10">
        <f t="shared" si="8"/>
        <v>460</v>
      </c>
      <c r="I44" s="10">
        <f t="shared" si="9"/>
        <v>500</v>
      </c>
    </row>
    <row r="45" spans="1:9" x14ac:dyDescent="0.3">
      <c r="A45" s="3" t="s">
        <v>415</v>
      </c>
      <c r="B45" s="133" t="s">
        <v>65</v>
      </c>
      <c r="C45" s="135" t="s">
        <v>91</v>
      </c>
      <c r="D45" s="10" t="s">
        <v>66</v>
      </c>
      <c r="E45" s="10" t="s">
        <v>66</v>
      </c>
      <c r="F45" s="10" t="s">
        <v>108</v>
      </c>
      <c r="G45" s="10">
        <f t="shared" si="6"/>
        <v>700</v>
      </c>
      <c r="H45" s="10">
        <f t="shared" si="8"/>
        <v>700</v>
      </c>
      <c r="I45" s="10">
        <f t="shared" si="9"/>
        <v>750</v>
      </c>
    </row>
    <row r="46" spans="1:9" x14ac:dyDescent="0.3">
      <c r="A46" s="3" t="s">
        <v>416</v>
      </c>
      <c r="B46" s="133" t="s">
        <v>63</v>
      </c>
      <c r="C46" s="135" t="s">
        <v>92</v>
      </c>
      <c r="D46" s="10" t="s">
        <v>48</v>
      </c>
      <c r="E46" s="10" t="s">
        <v>48</v>
      </c>
      <c r="F46" s="10" t="s">
        <v>95</v>
      </c>
      <c r="G46" s="10">
        <f t="shared" si="6"/>
        <v>590</v>
      </c>
      <c r="H46" s="10">
        <f t="shared" si="8"/>
        <v>590</v>
      </c>
      <c r="I46" s="10">
        <f t="shared" si="9"/>
        <v>500</v>
      </c>
    </row>
    <row r="47" spans="1:9" x14ac:dyDescent="0.3">
      <c r="A47" s="3" t="s">
        <v>417</v>
      </c>
      <c r="B47" s="132" t="s">
        <v>65</v>
      </c>
      <c r="C47" s="134" t="s">
        <v>44</v>
      </c>
      <c r="D47" s="10" t="s">
        <v>100</v>
      </c>
      <c r="E47" s="10" t="s">
        <v>105</v>
      </c>
      <c r="F47" s="10" t="s">
        <v>100</v>
      </c>
      <c r="G47" s="10">
        <f t="shared" si="6"/>
        <v>470</v>
      </c>
      <c r="H47" s="10">
        <f t="shared" si="8"/>
        <v>490</v>
      </c>
      <c r="I47" s="10">
        <f t="shared" si="9"/>
        <v>470</v>
      </c>
    </row>
    <row r="48" spans="1:9" x14ac:dyDescent="0.3">
      <c r="A48" s="3" t="s">
        <v>418</v>
      </c>
      <c r="B48" s="132" t="s">
        <v>85</v>
      </c>
      <c r="C48" s="134" t="s">
        <v>33</v>
      </c>
      <c r="D48" s="10" t="s">
        <v>81</v>
      </c>
      <c r="E48" s="10" t="s">
        <v>81</v>
      </c>
      <c r="F48" s="10" t="s">
        <v>69</v>
      </c>
      <c r="G48" s="10">
        <f t="shared" si="6"/>
        <v>540</v>
      </c>
      <c r="H48" s="10">
        <f t="shared" ref="H48:H71" si="10">E48*1000</f>
        <v>540</v>
      </c>
      <c r="I48" s="10">
        <v>0</v>
      </c>
    </row>
    <row r="49" spans="1:9" x14ac:dyDescent="0.3">
      <c r="A49" s="3" t="s">
        <v>419</v>
      </c>
      <c r="B49" s="132" t="s">
        <v>62</v>
      </c>
      <c r="C49" s="134" t="s">
        <v>45</v>
      </c>
      <c r="D49" s="10" t="s">
        <v>64</v>
      </c>
      <c r="E49" s="10" t="s">
        <v>53</v>
      </c>
      <c r="F49" s="10" t="s">
        <v>109</v>
      </c>
      <c r="G49" s="10">
        <f t="shared" ref="G49:G64" si="11">D49*1000</f>
        <v>660</v>
      </c>
      <c r="H49" s="10">
        <f t="shared" si="10"/>
        <v>670</v>
      </c>
      <c r="I49" s="10">
        <f t="shared" ref="I49:I54" si="12">F49*1000</f>
        <v>720</v>
      </c>
    </row>
    <row r="50" spans="1:9" x14ac:dyDescent="0.3">
      <c r="A50" s="3" t="s">
        <v>465</v>
      </c>
      <c r="B50" s="132" t="s">
        <v>106</v>
      </c>
      <c r="C50" s="134" t="s">
        <v>45</v>
      </c>
      <c r="D50" s="10" t="s">
        <v>62</v>
      </c>
      <c r="E50" s="10" t="s">
        <v>65</v>
      </c>
      <c r="F50" s="10" t="s">
        <v>62</v>
      </c>
      <c r="G50" s="10">
        <f t="shared" si="11"/>
        <v>570</v>
      </c>
      <c r="H50" s="10">
        <f t="shared" si="10"/>
        <v>560</v>
      </c>
      <c r="I50" s="10">
        <f t="shared" si="12"/>
        <v>570</v>
      </c>
    </row>
    <row r="51" spans="1:9" x14ac:dyDescent="0.3">
      <c r="A51" s="9" t="s">
        <v>475</v>
      </c>
      <c r="B51" s="132" t="s">
        <v>113</v>
      </c>
      <c r="C51" s="134" t="s">
        <v>90</v>
      </c>
      <c r="D51" s="10" t="s">
        <v>115</v>
      </c>
      <c r="E51" s="10" t="s">
        <v>132</v>
      </c>
      <c r="F51" s="10" t="s">
        <v>134</v>
      </c>
      <c r="G51" s="10">
        <f t="shared" si="11"/>
        <v>770</v>
      </c>
      <c r="H51" s="10">
        <f t="shared" si="10"/>
        <v>940</v>
      </c>
      <c r="I51" s="10">
        <f t="shared" si="12"/>
        <v>930</v>
      </c>
    </row>
    <row r="52" spans="1:9" x14ac:dyDescent="0.3">
      <c r="A52" s="3" t="s">
        <v>420</v>
      </c>
      <c r="B52" s="132" t="s">
        <v>63</v>
      </c>
      <c r="C52" s="134" t="s">
        <v>43</v>
      </c>
      <c r="D52" s="10" t="s">
        <v>52</v>
      </c>
      <c r="E52" s="10" t="s">
        <v>63</v>
      </c>
      <c r="F52" s="10" t="s">
        <v>48</v>
      </c>
      <c r="G52" s="10">
        <f t="shared" si="11"/>
        <v>610</v>
      </c>
      <c r="H52" s="10">
        <f t="shared" si="10"/>
        <v>600</v>
      </c>
      <c r="I52" s="10">
        <f t="shared" si="12"/>
        <v>590</v>
      </c>
    </row>
    <row r="53" spans="1:9" x14ac:dyDescent="0.3">
      <c r="A53" s="3" t="s">
        <v>421</v>
      </c>
      <c r="B53" s="132" t="s">
        <v>116</v>
      </c>
      <c r="C53" s="134" t="s">
        <v>32</v>
      </c>
      <c r="D53" s="10" t="s">
        <v>65</v>
      </c>
      <c r="E53" s="10" t="s">
        <v>65</v>
      </c>
      <c r="F53" s="10" t="s">
        <v>52</v>
      </c>
      <c r="G53" s="10">
        <f t="shared" si="11"/>
        <v>560</v>
      </c>
      <c r="H53" s="10">
        <f t="shared" si="10"/>
        <v>560</v>
      </c>
      <c r="I53" s="10">
        <f t="shared" si="12"/>
        <v>610</v>
      </c>
    </row>
    <row r="54" spans="1:9" x14ac:dyDescent="0.3">
      <c r="A54" s="3" t="s">
        <v>422</v>
      </c>
      <c r="B54" s="132" t="s">
        <v>83</v>
      </c>
      <c r="C54" s="134" t="s">
        <v>34</v>
      </c>
      <c r="D54" s="10" t="s">
        <v>85</v>
      </c>
      <c r="E54" s="10" t="s">
        <v>85</v>
      </c>
      <c r="F54" s="10" t="s">
        <v>64</v>
      </c>
      <c r="G54" s="10">
        <f t="shared" si="11"/>
        <v>630</v>
      </c>
      <c r="H54" s="10">
        <f t="shared" si="10"/>
        <v>630</v>
      </c>
      <c r="I54" s="10">
        <f t="shared" si="12"/>
        <v>660</v>
      </c>
    </row>
    <row r="55" spans="1:9" x14ac:dyDescent="0.3">
      <c r="A55" s="3" t="s">
        <v>423</v>
      </c>
      <c r="B55" s="132" t="s">
        <v>65</v>
      </c>
      <c r="C55" s="134" t="s">
        <v>33</v>
      </c>
      <c r="D55" s="10" t="s">
        <v>62</v>
      </c>
      <c r="E55" s="10" t="s">
        <v>62</v>
      </c>
      <c r="F55" s="10" t="s">
        <v>69</v>
      </c>
      <c r="G55" s="10">
        <f t="shared" si="11"/>
        <v>570</v>
      </c>
      <c r="H55" s="10">
        <f t="shared" si="10"/>
        <v>570</v>
      </c>
      <c r="I55" s="10">
        <v>0</v>
      </c>
    </row>
    <row r="56" spans="1:9" x14ac:dyDescent="0.3">
      <c r="A56" s="3" t="s">
        <v>466</v>
      </c>
      <c r="B56" s="132" t="s">
        <v>65</v>
      </c>
      <c r="C56" s="134" t="s">
        <v>97</v>
      </c>
      <c r="D56" s="10" t="s">
        <v>101</v>
      </c>
      <c r="E56" s="10" t="s">
        <v>106</v>
      </c>
      <c r="F56" s="10" t="s">
        <v>110</v>
      </c>
      <c r="G56" s="10">
        <f t="shared" si="11"/>
        <v>1270</v>
      </c>
      <c r="H56" s="10">
        <f t="shared" si="10"/>
        <v>1610</v>
      </c>
      <c r="I56" s="10">
        <f>F56*1000</f>
        <v>1390</v>
      </c>
    </row>
    <row r="57" spans="1:9" x14ac:dyDescent="0.3">
      <c r="A57" s="3" t="s">
        <v>424</v>
      </c>
      <c r="B57" s="132" t="s">
        <v>68</v>
      </c>
      <c r="C57" s="134" t="s">
        <v>33</v>
      </c>
      <c r="D57" s="10" t="s">
        <v>113</v>
      </c>
      <c r="E57" s="10" t="s">
        <v>113</v>
      </c>
      <c r="F57" s="10" t="s">
        <v>114</v>
      </c>
      <c r="G57" s="10">
        <f t="shared" si="11"/>
        <v>780</v>
      </c>
      <c r="H57" s="10">
        <f t="shared" si="10"/>
        <v>780</v>
      </c>
      <c r="I57" s="10">
        <f>F57*1000</f>
        <v>790</v>
      </c>
    </row>
    <row r="58" spans="1:9" x14ac:dyDescent="0.3">
      <c r="A58" s="3" t="s">
        <v>425</v>
      </c>
      <c r="B58" s="132" t="s">
        <v>96</v>
      </c>
      <c r="C58" s="134" t="s">
        <v>33</v>
      </c>
      <c r="D58" s="10" t="s">
        <v>63</v>
      </c>
      <c r="E58" s="10" t="s">
        <v>63</v>
      </c>
      <c r="F58" s="10" t="s">
        <v>55</v>
      </c>
      <c r="G58" s="10">
        <f t="shared" si="11"/>
        <v>600</v>
      </c>
      <c r="H58" s="10">
        <f t="shared" si="10"/>
        <v>600</v>
      </c>
      <c r="I58" s="10">
        <f>F58*1000</f>
        <v>640</v>
      </c>
    </row>
    <row r="59" spans="1:9" x14ac:dyDescent="0.3">
      <c r="A59" s="3" t="s">
        <v>426</v>
      </c>
      <c r="B59" s="132" t="s">
        <v>47</v>
      </c>
      <c r="C59" s="134" t="s">
        <v>33</v>
      </c>
      <c r="D59" s="10" t="s">
        <v>86</v>
      </c>
      <c r="E59" s="10" t="s">
        <v>116</v>
      </c>
      <c r="F59" s="10" t="s">
        <v>116</v>
      </c>
      <c r="G59" s="10">
        <f t="shared" si="11"/>
        <v>1120</v>
      </c>
      <c r="H59" s="10">
        <f t="shared" si="10"/>
        <v>1140</v>
      </c>
      <c r="I59" s="10">
        <f>F59*1000</f>
        <v>1140</v>
      </c>
    </row>
    <row r="60" spans="1:9" x14ac:dyDescent="0.3">
      <c r="A60" s="3" t="s">
        <v>427</v>
      </c>
      <c r="B60" s="132" t="s">
        <v>63</v>
      </c>
      <c r="C60" s="134" t="s">
        <v>34</v>
      </c>
      <c r="D60" s="10" t="s">
        <v>85</v>
      </c>
      <c r="E60" s="10" t="s">
        <v>83</v>
      </c>
      <c r="F60" s="10" t="s">
        <v>69</v>
      </c>
      <c r="G60" s="10">
        <f t="shared" si="11"/>
        <v>630</v>
      </c>
      <c r="H60" s="10">
        <f t="shared" si="10"/>
        <v>620</v>
      </c>
      <c r="I60" s="10">
        <v>0</v>
      </c>
    </row>
    <row r="61" spans="1:9" x14ac:dyDescent="0.3">
      <c r="A61" s="3" t="s">
        <v>428</v>
      </c>
      <c r="B61" s="132" t="s">
        <v>108</v>
      </c>
      <c r="C61" s="134" t="s">
        <v>40</v>
      </c>
      <c r="D61" s="10" t="s">
        <v>65</v>
      </c>
      <c r="E61" s="10" t="s">
        <v>65</v>
      </c>
      <c r="F61" s="10" t="s">
        <v>52</v>
      </c>
      <c r="G61" s="10">
        <f t="shared" si="11"/>
        <v>560</v>
      </c>
      <c r="H61" s="10">
        <f t="shared" si="10"/>
        <v>560</v>
      </c>
      <c r="I61" s="10">
        <f t="shared" ref="I61:I66" si="13">F61*1000</f>
        <v>610</v>
      </c>
    </row>
    <row r="62" spans="1:9" x14ac:dyDescent="0.3">
      <c r="A62" s="3" t="s">
        <v>468</v>
      </c>
      <c r="B62" s="132" t="s">
        <v>64</v>
      </c>
      <c r="C62" s="134" t="s">
        <v>42</v>
      </c>
      <c r="D62" s="10" t="s">
        <v>62</v>
      </c>
      <c r="E62" s="10" t="s">
        <v>65</v>
      </c>
      <c r="F62" s="10" t="s">
        <v>52</v>
      </c>
      <c r="G62" s="10">
        <f t="shared" si="11"/>
        <v>570</v>
      </c>
      <c r="H62" s="10">
        <f t="shared" si="10"/>
        <v>560</v>
      </c>
      <c r="I62" s="10">
        <f t="shared" si="13"/>
        <v>610</v>
      </c>
    </row>
    <row r="63" spans="1:9" x14ac:dyDescent="0.3">
      <c r="A63" s="3" t="s">
        <v>467</v>
      </c>
      <c r="B63" s="132" t="s">
        <v>81</v>
      </c>
      <c r="C63" s="134" t="s">
        <v>36</v>
      </c>
      <c r="D63" s="10" t="s">
        <v>68</v>
      </c>
      <c r="E63" s="10" t="s">
        <v>68</v>
      </c>
      <c r="F63" s="10" t="s">
        <v>52</v>
      </c>
      <c r="G63" s="10">
        <f t="shared" si="11"/>
        <v>550</v>
      </c>
      <c r="H63" s="10">
        <f t="shared" si="10"/>
        <v>550</v>
      </c>
      <c r="I63" s="10">
        <f t="shared" si="13"/>
        <v>610</v>
      </c>
    </row>
    <row r="64" spans="1:9" ht="15" customHeight="1" x14ac:dyDescent="0.3">
      <c r="A64" s="3" t="s">
        <v>429</v>
      </c>
      <c r="B64" s="132" t="s">
        <v>65</v>
      </c>
      <c r="C64" s="134" t="s">
        <v>32</v>
      </c>
      <c r="D64" s="10" t="s">
        <v>96</v>
      </c>
      <c r="E64" s="10" t="s">
        <v>96</v>
      </c>
      <c r="F64" s="10" t="s">
        <v>83</v>
      </c>
      <c r="G64" s="10">
        <f t="shared" si="11"/>
        <v>510</v>
      </c>
      <c r="H64" s="10">
        <f t="shared" si="10"/>
        <v>510</v>
      </c>
      <c r="I64" s="10">
        <f t="shared" si="13"/>
        <v>620</v>
      </c>
    </row>
    <row r="65" spans="1:9" x14ac:dyDescent="0.3">
      <c r="A65" s="3" t="s">
        <v>430</v>
      </c>
      <c r="B65" s="132" t="s">
        <v>63</v>
      </c>
      <c r="C65" s="134" t="s">
        <v>33</v>
      </c>
      <c r="D65" s="10" t="s">
        <v>49</v>
      </c>
      <c r="E65" s="10" t="s">
        <v>47</v>
      </c>
      <c r="F65" s="10" t="s">
        <v>50</v>
      </c>
      <c r="G65" s="10">
        <f t="shared" ref="G65:G79" si="14">D65*1000</f>
        <v>530</v>
      </c>
      <c r="H65" s="10">
        <f t="shared" si="10"/>
        <v>520</v>
      </c>
      <c r="I65" s="10">
        <f t="shared" si="13"/>
        <v>580</v>
      </c>
    </row>
    <row r="66" spans="1:9" x14ac:dyDescent="0.3">
      <c r="A66" s="3" t="s">
        <v>474</v>
      </c>
      <c r="B66" s="132" t="s">
        <v>79</v>
      </c>
      <c r="C66" s="134" t="s">
        <v>34</v>
      </c>
      <c r="D66" s="10" t="s">
        <v>63</v>
      </c>
      <c r="E66" s="10" t="s">
        <v>63</v>
      </c>
      <c r="F66" s="10" t="s">
        <v>63</v>
      </c>
      <c r="G66" s="10">
        <f t="shared" si="14"/>
        <v>600</v>
      </c>
      <c r="H66" s="10">
        <f t="shared" si="10"/>
        <v>600</v>
      </c>
      <c r="I66" s="10">
        <f t="shared" si="13"/>
        <v>600</v>
      </c>
    </row>
    <row r="67" spans="1:9" x14ac:dyDescent="0.3">
      <c r="A67" s="3" t="s">
        <v>431</v>
      </c>
      <c r="B67" s="132" t="s">
        <v>62</v>
      </c>
      <c r="C67" s="134" t="s">
        <v>33</v>
      </c>
      <c r="D67" s="10" t="s">
        <v>120</v>
      </c>
      <c r="E67" s="10" t="s">
        <v>121</v>
      </c>
      <c r="F67" s="10" t="s">
        <v>69</v>
      </c>
      <c r="G67" s="10">
        <f t="shared" si="14"/>
        <v>440</v>
      </c>
      <c r="H67" s="10">
        <f t="shared" si="10"/>
        <v>430</v>
      </c>
      <c r="I67" s="10">
        <v>0</v>
      </c>
    </row>
    <row r="68" spans="1:9" x14ac:dyDescent="0.3">
      <c r="A68" s="3" t="s">
        <v>432</v>
      </c>
      <c r="B68" s="132" t="s">
        <v>62</v>
      </c>
      <c r="C68" s="134" t="s">
        <v>36</v>
      </c>
      <c r="D68" s="10" t="s">
        <v>115</v>
      </c>
      <c r="E68" s="10" t="s">
        <v>108</v>
      </c>
      <c r="F68" s="10" t="s">
        <v>108</v>
      </c>
      <c r="G68" s="10">
        <f t="shared" si="14"/>
        <v>770</v>
      </c>
      <c r="H68" s="10">
        <f t="shared" si="10"/>
        <v>750</v>
      </c>
      <c r="I68" s="10">
        <f>F68*1000</f>
        <v>750</v>
      </c>
    </row>
    <row r="69" spans="1:9" x14ac:dyDescent="0.3">
      <c r="A69" s="3" t="s">
        <v>433</v>
      </c>
      <c r="B69" s="132" t="s">
        <v>121</v>
      </c>
      <c r="C69" s="134" t="s">
        <v>42</v>
      </c>
      <c r="D69" s="10" t="s">
        <v>53</v>
      </c>
      <c r="E69" s="10" t="s">
        <v>64</v>
      </c>
      <c r="F69" s="10" t="s">
        <v>122</v>
      </c>
      <c r="G69" s="10">
        <f t="shared" si="14"/>
        <v>670</v>
      </c>
      <c r="H69" s="10">
        <f t="shared" si="10"/>
        <v>660</v>
      </c>
      <c r="I69" s="10">
        <f>F69*1000</f>
        <v>730</v>
      </c>
    </row>
    <row r="70" spans="1:9" x14ac:dyDescent="0.3">
      <c r="A70" s="3" t="s">
        <v>434</v>
      </c>
      <c r="B70" s="132" t="s">
        <v>96</v>
      </c>
      <c r="C70" s="134" t="s">
        <v>31</v>
      </c>
      <c r="D70" s="10" t="s">
        <v>81</v>
      </c>
      <c r="E70" s="10" t="s">
        <v>81</v>
      </c>
      <c r="F70" s="10" t="s">
        <v>68</v>
      </c>
      <c r="G70" s="10">
        <f t="shared" si="14"/>
        <v>540</v>
      </c>
      <c r="H70" s="10">
        <f t="shared" si="10"/>
        <v>540</v>
      </c>
      <c r="I70" s="10">
        <f>F70*1000</f>
        <v>550</v>
      </c>
    </row>
    <row r="71" spans="1:9" x14ac:dyDescent="0.3">
      <c r="A71" s="3" t="s">
        <v>435</v>
      </c>
      <c r="B71" s="132" t="s">
        <v>96</v>
      </c>
      <c r="C71" s="134" t="s">
        <v>32</v>
      </c>
      <c r="D71" s="10" t="s">
        <v>62</v>
      </c>
      <c r="E71" s="10" t="s">
        <v>65</v>
      </c>
      <c r="F71" s="10" t="s">
        <v>62</v>
      </c>
      <c r="G71" s="10">
        <f t="shared" si="14"/>
        <v>570</v>
      </c>
      <c r="H71" s="10">
        <f t="shared" si="10"/>
        <v>560</v>
      </c>
      <c r="I71" s="10">
        <f>F71*1000</f>
        <v>570</v>
      </c>
    </row>
    <row r="72" spans="1:9" x14ac:dyDescent="0.3">
      <c r="A72" s="3" t="s">
        <v>436</v>
      </c>
      <c r="B72" s="132" t="s">
        <v>48</v>
      </c>
      <c r="C72" s="134" t="s">
        <v>36</v>
      </c>
      <c r="D72" s="10" t="s">
        <v>63</v>
      </c>
      <c r="E72" s="10" t="s">
        <v>63</v>
      </c>
      <c r="F72" s="10" t="s">
        <v>62</v>
      </c>
      <c r="G72" s="10">
        <f t="shared" si="14"/>
        <v>600</v>
      </c>
      <c r="H72" s="10">
        <f t="shared" ref="H72:I74" si="15">E72*1000</f>
        <v>600</v>
      </c>
      <c r="I72" s="10">
        <f t="shared" si="15"/>
        <v>570</v>
      </c>
    </row>
    <row r="73" spans="1:9" x14ac:dyDescent="0.3">
      <c r="A73" s="3" t="s">
        <v>437</v>
      </c>
      <c r="B73" s="132" t="s">
        <v>66</v>
      </c>
      <c r="C73" s="134" t="s">
        <v>33</v>
      </c>
      <c r="D73" s="10" t="s">
        <v>72</v>
      </c>
      <c r="E73" s="10" t="s">
        <v>79</v>
      </c>
      <c r="F73" s="10" t="s">
        <v>75</v>
      </c>
      <c r="G73" s="10">
        <f t="shared" si="14"/>
        <v>820</v>
      </c>
      <c r="H73" s="10">
        <f t="shared" si="15"/>
        <v>910</v>
      </c>
      <c r="I73" s="10">
        <f t="shared" si="15"/>
        <v>880</v>
      </c>
    </row>
    <row r="74" spans="1:9" x14ac:dyDescent="0.3">
      <c r="A74" s="3" t="s">
        <v>473</v>
      </c>
      <c r="B74" s="132" t="s">
        <v>67</v>
      </c>
      <c r="C74" s="134" t="s">
        <v>45</v>
      </c>
      <c r="D74" s="10" t="s">
        <v>62</v>
      </c>
      <c r="E74" s="10" t="s">
        <v>62</v>
      </c>
      <c r="F74" s="10" t="s">
        <v>50</v>
      </c>
      <c r="G74" s="10">
        <f t="shared" si="14"/>
        <v>570</v>
      </c>
      <c r="H74" s="10">
        <f t="shared" si="15"/>
        <v>570</v>
      </c>
      <c r="I74" s="10">
        <f t="shared" si="15"/>
        <v>580</v>
      </c>
    </row>
    <row r="75" spans="1:9" x14ac:dyDescent="0.3">
      <c r="A75" s="3" t="s">
        <v>438</v>
      </c>
      <c r="B75" s="132" t="s">
        <v>53</v>
      </c>
      <c r="C75" s="134" t="s">
        <v>43</v>
      </c>
      <c r="D75" s="10" t="s">
        <v>62</v>
      </c>
      <c r="E75" s="10" t="s">
        <v>62</v>
      </c>
      <c r="F75" s="10" t="s">
        <v>69</v>
      </c>
      <c r="G75" s="10">
        <f t="shared" si="14"/>
        <v>570</v>
      </c>
      <c r="H75" s="10">
        <f>E75*1000</f>
        <v>570</v>
      </c>
      <c r="I75" s="10">
        <v>0</v>
      </c>
    </row>
    <row r="76" spans="1:9" x14ac:dyDescent="0.3">
      <c r="A76" s="9" t="s">
        <v>439</v>
      </c>
      <c r="B76" s="132" t="s">
        <v>65</v>
      </c>
      <c r="C76" s="134" t="s">
        <v>46</v>
      </c>
      <c r="D76" s="10" t="s">
        <v>115</v>
      </c>
      <c r="E76" s="10" t="s">
        <v>132</v>
      </c>
      <c r="F76" s="10" t="s">
        <v>134</v>
      </c>
      <c r="G76" s="10">
        <f t="shared" si="14"/>
        <v>770</v>
      </c>
      <c r="H76" s="10">
        <f>E76*1000</f>
        <v>940</v>
      </c>
      <c r="I76" s="10">
        <f>F76*1000</f>
        <v>930</v>
      </c>
    </row>
    <row r="77" spans="1:9" x14ac:dyDescent="0.3">
      <c r="A77" s="3" t="s">
        <v>119</v>
      </c>
      <c r="B77" s="132" t="s">
        <v>131</v>
      </c>
      <c r="C77" s="134" t="s">
        <v>33</v>
      </c>
      <c r="D77" s="10" t="s">
        <v>47</v>
      </c>
      <c r="E77" s="10" t="s">
        <v>96</v>
      </c>
      <c r="F77" s="10" t="s">
        <v>63</v>
      </c>
      <c r="G77" s="10">
        <f t="shared" si="14"/>
        <v>520</v>
      </c>
      <c r="H77" s="10">
        <f>E77*1000</f>
        <v>510</v>
      </c>
      <c r="I77" s="10">
        <f>F77*1000</f>
        <v>600</v>
      </c>
    </row>
    <row r="78" spans="1:9" x14ac:dyDescent="0.3">
      <c r="A78" s="3" t="s">
        <v>124</v>
      </c>
      <c r="B78" s="132" t="s">
        <v>131</v>
      </c>
      <c r="C78" s="134" t="s">
        <v>36</v>
      </c>
      <c r="D78" s="10" t="s">
        <v>96</v>
      </c>
      <c r="E78" s="10" t="s">
        <v>96</v>
      </c>
      <c r="F78" s="10" t="s">
        <v>65</v>
      </c>
      <c r="G78" s="10">
        <f t="shared" si="14"/>
        <v>510</v>
      </c>
      <c r="H78" s="10">
        <f>E78*1000</f>
        <v>510</v>
      </c>
      <c r="I78" s="10">
        <f>F78*1000</f>
        <v>560</v>
      </c>
    </row>
    <row r="79" spans="1:9" x14ac:dyDescent="0.3">
      <c r="A79" s="3" t="s">
        <v>45</v>
      </c>
      <c r="B79" s="132" t="s">
        <v>113</v>
      </c>
      <c r="C79" s="134" t="s">
        <v>36</v>
      </c>
      <c r="D79" s="10" t="s">
        <v>48</v>
      </c>
      <c r="E79" s="10" t="s">
        <v>48</v>
      </c>
      <c r="F79" s="10" t="s">
        <v>85</v>
      </c>
      <c r="G79" s="10">
        <f t="shared" si="14"/>
        <v>590</v>
      </c>
      <c r="H79" s="10">
        <f>E79*1000</f>
        <v>590</v>
      </c>
      <c r="I79" s="10">
        <f>F79*1000</f>
        <v>630</v>
      </c>
    </row>
    <row r="80" spans="1:9" x14ac:dyDescent="0.3">
      <c r="A80" s="9" t="s">
        <v>125</v>
      </c>
      <c r="B80" s="132" t="s">
        <v>113</v>
      </c>
      <c r="C80" s="134" t="s">
        <v>43</v>
      </c>
      <c r="D80" s="10" t="s">
        <v>67</v>
      </c>
      <c r="E80" s="10" t="s">
        <v>66</v>
      </c>
      <c r="F80" s="10" t="s">
        <v>115</v>
      </c>
      <c r="G80" s="10">
        <f t="shared" ref="G80:G107" si="16">D80*1000</f>
        <v>710</v>
      </c>
      <c r="H80" s="10">
        <f t="shared" ref="H80:H90" si="17">E80*1000</f>
        <v>700</v>
      </c>
      <c r="I80" s="10">
        <f t="shared" ref="I80:I90" si="18">F80*1000</f>
        <v>770</v>
      </c>
    </row>
    <row r="81" spans="1:9" x14ac:dyDescent="0.3">
      <c r="A81" s="9" t="s">
        <v>126</v>
      </c>
      <c r="B81" s="132" t="s">
        <v>132</v>
      </c>
      <c r="C81" s="134" t="s">
        <v>111</v>
      </c>
      <c r="D81" s="10" t="s">
        <v>67</v>
      </c>
      <c r="E81" s="10" t="s">
        <v>67</v>
      </c>
      <c r="F81" s="10" t="s">
        <v>113</v>
      </c>
      <c r="G81" s="10">
        <f t="shared" si="16"/>
        <v>710</v>
      </c>
      <c r="H81" s="10">
        <f t="shared" si="17"/>
        <v>710</v>
      </c>
      <c r="I81" s="10">
        <f t="shared" si="18"/>
        <v>780</v>
      </c>
    </row>
    <row r="82" spans="1:9" x14ac:dyDescent="0.3">
      <c r="A82" s="9" t="s">
        <v>40</v>
      </c>
      <c r="B82" s="132" t="s">
        <v>132</v>
      </c>
      <c r="C82" s="134" t="s">
        <v>45</v>
      </c>
      <c r="D82" s="10" t="s">
        <v>53</v>
      </c>
      <c r="E82" s="10" t="s">
        <v>53</v>
      </c>
      <c r="F82" s="10" t="s">
        <v>73</v>
      </c>
      <c r="G82" s="10">
        <f t="shared" si="16"/>
        <v>670</v>
      </c>
      <c r="H82" s="10">
        <f t="shared" si="17"/>
        <v>670</v>
      </c>
      <c r="I82" s="10">
        <f t="shared" si="18"/>
        <v>740</v>
      </c>
    </row>
    <row r="83" spans="1:9" x14ac:dyDescent="0.3">
      <c r="A83" s="9" t="s">
        <v>127</v>
      </c>
      <c r="B83" s="132" t="s">
        <v>132</v>
      </c>
      <c r="C83" s="134" t="s">
        <v>33</v>
      </c>
      <c r="D83" s="10" t="s">
        <v>65</v>
      </c>
      <c r="E83" s="10" t="s">
        <v>65</v>
      </c>
      <c r="F83" s="10" t="s">
        <v>63</v>
      </c>
      <c r="G83" s="10">
        <f t="shared" si="16"/>
        <v>560</v>
      </c>
      <c r="H83" s="10">
        <f t="shared" si="17"/>
        <v>560</v>
      </c>
      <c r="I83" s="10">
        <f t="shared" si="18"/>
        <v>600</v>
      </c>
    </row>
    <row r="84" spans="1:9" x14ac:dyDescent="0.3">
      <c r="A84" s="9" t="s">
        <v>128</v>
      </c>
      <c r="B84" s="132" t="s">
        <v>132</v>
      </c>
      <c r="C84" s="134" t="s">
        <v>43</v>
      </c>
      <c r="D84" s="10" t="s">
        <v>122</v>
      </c>
      <c r="E84" s="10" t="s">
        <v>131</v>
      </c>
      <c r="F84" s="10" t="s">
        <v>131</v>
      </c>
      <c r="G84" s="10">
        <f t="shared" si="16"/>
        <v>730</v>
      </c>
      <c r="H84" s="10">
        <f t="shared" si="17"/>
        <v>950</v>
      </c>
      <c r="I84" s="10">
        <f t="shared" si="18"/>
        <v>950</v>
      </c>
    </row>
    <row r="85" spans="1:9" x14ac:dyDescent="0.3">
      <c r="A85" s="9" t="s">
        <v>42</v>
      </c>
      <c r="B85" s="132" t="s">
        <v>132</v>
      </c>
      <c r="C85" s="134" t="s">
        <v>45</v>
      </c>
      <c r="D85" s="10" t="s">
        <v>122</v>
      </c>
      <c r="E85" s="10" t="s">
        <v>131</v>
      </c>
      <c r="F85" s="10" t="s">
        <v>131</v>
      </c>
      <c r="G85" s="10">
        <f t="shared" si="16"/>
        <v>730</v>
      </c>
      <c r="H85" s="10">
        <f t="shared" si="17"/>
        <v>950</v>
      </c>
      <c r="I85" s="10">
        <f t="shared" si="18"/>
        <v>950</v>
      </c>
    </row>
    <row r="86" spans="1:9" x14ac:dyDescent="0.3">
      <c r="A86" s="9" t="s">
        <v>118</v>
      </c>
      <c r="B86" s="132" t="s">
        <v>132</v>
      </c>
      <c r="C86" s="134" t="s">
        <v>31</v>
      </c>
      <c r="D86" s="10" t="s">
        <v>53</v>
      </c>
      <c r="E86" s="10" t="s">
        <v>113</v>
      </c>
      <c r="F86" s="10" t="s">
        <v>113</v>
      </c>
      <c r="G86" s="10">
        <f t="shared" si="16"/>
        <v>670</v>
      </c>
      <c r="H86" s="10">
        <f t="shared" si="17"/>
        <v>780</v>
      </c>
      <c r="I86" s="10">
        <f t="shared" si="18"/>
        <v>780</v>
      </c>
    </row>
    <row r="87" spans="1:9" x14ac:dyDescent="0.3">
      <c r="A87" s="9" t="s">
        <v>129</v>
      </c>
      <c r="B87" s="132" t="s">
        <v>132</v>
      </c>
      <c r="C87" s="134" t="s">
        <v>112</v>
      </c>
      <c r="D87" s="10" t="s">
        <v>115</v>
      </c>
      <c r="E87" s="10" t="s">
        <v>132</v>
      </c>
      <c r="F87" s="10" t="s">
        <v>134</v>
      </c>
      <c r="G87" s="10">
        <f t="shared" si="16"/>
        <v>770</v>
      </c>
      <c r="H87" s="10">
        <f t="shared" si="17"/>
        <v>940</v>
      </c>
      <c r="I87" s="10">
        <f t="shared" si="18"/>
        <v>930</v>
      </c>
    </row>
    <row r="88" spans="1:9" x14ac:dyDescent="0.3">
      <c r="A88" s="9" t="s">
        <v>117</v>
      </c>
      <c r="B88" s="132" t="s">
        <v>132</v>
      </c>
      <c r="C88" s="134" t="s">
        <v>45</v>
      </c>
      <c r="D88" s="10" t="s">
        <v>115</v>
      </c>
      <c r="E88" s="10" t="s">
        <v>132</v>
      </c>
      <c r="F88" s="10" t="s">
        <v>134</v>
      </c>
      <c r="G88" s="10">
        <f t="shared" si="16"/>
        <v>770</v>
      </c>
      <c r="H88" s="10">
        <f t="shared" si="17"/>
        <v>940</v>
      </c>
      <c r="I88" s="10">
        <f t="shared" si="18"/>
        <v>930</v>
      </c>
    </row>
    <row r="89" spans="1:9" x14ac:dyDescent="0.3">
      <c r="A89" s="9" t="s">
        <v>440</v>
      </c>
      <c r="B89" s="132" t="s">
        <v>66</v>
      </c>
      <c r="C89" s="134" t="s">
        <v>45</v>
      </c>
      <c r="D89" s="10" t="s">
        <v>115</v>
      </c>
      <c r="E89" s="10" t="s">
        <v>132</v>
      </c>
      <c r="F89" s="10" t="s">
        <v>134</v>
      </c>
      <c r="G89" s="10">
        <f t="shared" si="16"/>
        <v>770</v>
      </c>
      <c r="H89" s="10">
        <f t="shared" si="17"/>
        <v>940</v>
      </c>
      <c r="I89" s="10">
        <f t="shared" si="18"/>
        <v>930</v>
      </c>
    </row>
    <row r="90" spans="1:9" x14ac:dyDescent="0.3">
      <c r="A90" s="9" t="s">
        <v>472</v>
      </c>
      <c r="B90" s="132" t="s">
        <v>68</v>
      </c>
      <c r="C90" s="134" t="s">
        <v>33</v>
      </c>
      <c r="D90" s="10" t="s">
        <v>61</v>
      </c>
      <c r="E90" s="10" t="s">
        <v>66</v>
      </c>
      <c r="F90" s="10" t="s">
        <v>66</v>
      </c>
      <c r="G90" s="10">
        <f t="shared" si="16"/>
        <v>690</v>
      </c>
      <c r="H90" s="10">
        <f t="shared" si="17"/>
        <v>700</v>
      </c>
      <c r="I90" s="10">
        <f t="shared" si="18"/>
        <v>700</v>
      </c>
    </row>
    <row r="91" spans="1:9" x14ac:dyDescent="0.3">
      <c r="A91" s="9" t="s">
        <v>441</v>
      </c>
      <c r="B91" s="132" t="s">
        <v>50</v>
      </c>
      <c r="C91" s="134" t="s">
        <v>31</v>
      </c>
      <c r="D91" s="10" t="s">
        <v>68</v>
      </c>
      <c r="E91" s="10" t="s">
        <v>68</v>
      </c>
      <c r="F91" s="10" t="s">
        <v>69</v>
      </c>
      <c r="G91" s="10">
        <f t="shared" si="16"/>
        <v>550</v>
      </c>
      <c r="H91" s="10">
        <f t="shared" ref="H91:H98" si="19">E91*1000</f>
        <v>550</v>
      </c>
      <c r="I91" s="10">
        <v>0</v>
      </c>
    </row>
    <row r="92" spans="1:9" x14ac:dyDescent="0.3">
      <c r="A92" s="9" t="s">
        <v>442</v>
      </c>
      <c r="B92" s="132" t="s">
        <v>51</v>
      </c>
      <c r="C92" s="134" t="s">
        <v>44</v>
      </c>
      <c r="D92" s="10" t="s">
        <v>50</v>
      </c>
      <c r="E92" s="10" t="s">
        <v>50</v>
      </c>
      <c r="F92" s="10" t="s">
        <v>69</v>
      </c>
      <c r="G92" s="10">
        <f t="shared" si="16"/>
        <v>580</v>
      </c>
      <c r="H92" s="10">
        <f t="shared" si="19"/>
        <v>580</v>
      </c>
      <c r="I92" s="10">
        <v>0</v>
      </c>
    </row>
    <row r="93" spans="1:9" x14ac:dyDescent="0.3">
      <c r="A93" s="9" t="s">
        <v>443</v>
      </c>
      <c r="B93" s="132" t="s">
        <v>50</v>
      </c>
      <c r="C93" s="134" t="s">
        <v>45</v>
      </c>
      <c r="D93" s="10" t="s">
        <v>51</v>
      </c>
      <c r="E93" s="10" t="s">
        <v>51</v>
      </c>
      <c r="F93" s="10" t="s">
        <v>69</v>
      </c>
      <c r="G93" s="10">
        <f t="shared" si="16"/>
        <v>650</v>
      </c>
      <c r="H93" s="10">
        <f t="shared" si="19"/>
        <v>650</v>
      </c>
      <c r="I93" s="10">
        <v>0</v>
      </c>
    </row>
    <row r="94" spans="1:9" x14ac:dyDescent="0.3">
      <c r="A94" s="9" t="s">
        <v>123</v>
      </c>
      <c r="B94" s="132" t="s">
        <v>133</v>
      </c>
      <c r="C94" s="134" t="s">
        <v>32</v>
      </c>
      <c r="D94" s="10" t="s">
        <v>50</v>
      </c>
      <c r="E94" s="10" t="s">
        <v>50</v>
      </c>
      <c r="F94" s="10" t="s">
        <v>52</v>
      </c>
      <c r="G94" s="10">
        <f t="shared" si="16"/>
        <v>580</v>
      </c>
      <c r="H94" s="10">
        <f t="shared" si="19"/>
        <v>580</v>
      </c>
      <c r="I94" s="10">
        <f>F94*1000</f>
        <v>610</v>
      </c>
    </row>
    <row r="95" spans="1:9" x14ac:dyDescent="0.3">
      <c r="A95" s="9" t="s">
        <v>469</v>
      </c>
      <c r="B95" s="132" t="s">
        <v>95</v>
      </c>
      <c r="C95" s="134" t="s">
        <v>33</v>
      </c>
      <c r="D95" s="10" t="s">
        <v>130</v>
      </c>
      <c r="E95" s="10" t="s">
        <v>133</v>
      </c>
      <c r="F95" s="10" t="s">
        <v>94</v>
      </c>
      <c r="G95" s="10">
        <f t="shared" si="16"/>
        <v>1190</v>
      </c>
      <c r="H95" s="10">
        <f t="shared" si="19"/>
        <v>840</v>
      </c>
      <c r="I95" s="10">
        <f>F95*1000</f>
        <v>870</v>
      </c>
    </row>
    <row r="96" spans="1:9" x14ac:dyDescent="0.3">
      <c r="A96" s="9" t="s">
        <v>444</v>
      </c>
      <c r="B96" s="132" t="s">
        <v>65</v>
      </c>
      <c r="C96" s="134" t="s">
        <v>32</v>
      </c>
      <c r="D96" s="10" t="s">
        <v>96</v>
      </c>
      <c r="E96" s="10" t="s">
        <v>95</v>
      </c>
      <c r="F96" s="10" t="s">
        <v>69</v>
      </c>
      <c r="G96" s="10">
        <f t="shared" si="16"/>
        <v>510</v>
      </c>
      <c r="H96" s="10">
        <f t="shared" si="19"/>
        <v>500</v>
      </c>
      <c r="I96" s="10">
        <v>0</v>
      </c>
    </row>
    <row r="97" spans="1:9" x14ac:dyDescent="0.3">
      <c r="A97" s="9" t="s">
        <v>445</v>
      </c>
      <c r="B97" s="132" t="s">
        <v>80</v>
      </c>
      <c r="C97" s="134" t="s">
        <v>40</v>
      </c>
      <c r="D97" s="10" t="s">
        <v>65</v>
      </c>
      <c r="E97" s="10" t="s">
        <v>65</v>
      </c>
      <c r="F97" s="10" t="s">
        <v>63</v>
      </c>
      <c r="G97" s="10">
        <f t="shared" si="16"/>
        <v>560</v>
      </c>
      <c r="H97" s="10">
        <f t="shared" si="19"/>
        <v>560</v>
      </c>
      <c r="I97" s="10">
        <f>F97*1000</f>
        <v>600</v>
      </c>
    </row>
    <row r="98" spans="1:9" x14ac:dyDescent="0.3">
      <c r="A98" s="3" t="s">
        <v>446</v>
      </c>
      <c r="B98" s="132" t="s">
        <v>55</v>
      </c>
      <c r="C98" s="134" t="s">
        <v>44</v>
      </c>
      <c r="D98" s="10" t="s">
        <v>135</v>
      </c>
      <c r="E98" s="10" t="s">
        <v>80</v>
      </c>
      <c r="F98" s="10" t="s">
        <v>48</v>
      </c>
      <c r="G98" s="10">
        <f t="shared" si="16"/>
        <v>290</v>
      </c>
      <c r="H98" s="10">
        <f t="shared" si="19"/>
        <v>480</v>
      </c>
      <c r="I98" s="10">
        <f>F98*1000</f>
        <v>590</v>
      </c>
    </row>
    <row r="99" spans="1:9" x14ac:dyDescent="0.3">
      <c r="A99" s="3" t="s">
        <v>447</v>
      </c>
      <c r="B99" s="132" t="s">
        <v>57</v>
      </c>
      <c r="C99" s="134" t="s">
        <v>33</v>
      </c>
      <c r="D99" s="10" t="s">
        <v>51</v>
      </c>
      <c r="E99" s="10" t="s">
        <v>55</v>
      </c>
      <c r="F99" s="10" t="s">
        <v>66</v>
      </c>
      <c r="G99" s="10">
        <f t="shared" si="16"/>
        <v>650</v>
      </c>
      <c r="H99" s="10">
        <f>E99*1000</f>
        <v>640</v>
      </c>
      <c r="I99" s="10">
        <f>F99*1000</f>
        <v>700</v>
      </c>
    </row>
    <row r="100" spans="1:9" x14ac:dyDescent="0.3">
      <c r="A100" s="3" t="s">
        <v>471</v>
      </c>
      <c r="B100" s="132" t="s">
        <v>80</v>
      </c>
      <c r="C100" s="134" t="s">
        <v>33</v>
      </c>
      <c r="D100" s="10" t="s">
        <v>115</v>
      </c>
      <c r="E100" s="10" t="s">
        <v>57</v>
      </c>
      <c r="F100" s="10" t="s">
        <v>108</v>
      </c>
      <c r="G100" s="10">
        <f t="shared" si="16"/>
        <v>770</v>
      </c>
      <c r="H100" s="10">
        <f>E100*1000</f>
        <v>760</v>
      </c>
      <c r="I100" s="10">
        <f>F100*1000</f>
        <v>750</v>
      </c>
    </row>
    <row r="101" spans="1:9" x14ac:dyDescent="0.3">
      <c r="A101" s="3" t="s">
        <v>448</v>
      </c>
      <c r="B101" s="132" t="s">
        <v>62</v>
      </c>
      <c r="C101" s="134" t="s">
        <v>45</v>
      </c>
      <c r="D101" s="10" t="s">
        <v>136</v>
      </c>
      <c r="E101" s="10" t="s">
        <v>80</v>
      </c>
      <c r="F101" s="10" t="s">
        <v>83</v>
      </c>
      <c r="G101" s="10">
        <f t="shared" si="16"/>
        <v>420</v>
      </c>
      <c r="H101" s="10">
        <f t="shared" ref="H101:H111" si="20">E101*1000</f>
        <v>480</v>
      </c>
      <c r="I101" s="10">
        <f t="shared" ref="I101:I111" si="21">F101*1000</f>
        <v>620</v>
      </c>
    </row>
    <row r="102" spans="1:9" x14ac:dyDescent="0.3">
      <c r="A102" s="3" t="s">
        <v>449</v>
      </c>
      <c r="B102" s="132" t="s">
        <v>61</v>
      </c>
      <c r="C102" s="134" t="s">
        <v>117</v>
      </c>
      <c r="D102" s="10" t="s">
        <v>62</v>
      </c>
      <c r="E102" s="10" t="s">
        <v>62</v>
      </c>
      <c r="F102" s="10" t="s">
        <v>52</v>
      </c>
      <c r="G102" s="10">
        <f t="shared" si="16"/>
        <v>570</v>
      </c>
      <c r="H102" s="10">
        <f t="shared" si="20"/>
        <v>570</v>
      </c>
      <c r="I102" s="10">
        <f t="shared" si="21"/>
        <v>610</v>
      </c>
    </row>
    <row r="103" spans="1:9" x14ac:dyDescent="0.3">
      <c r="A103" s="3" t="s">
        <v>450</v>
      </c>
      <c r="B103" s="132" t="s">
        <v>48</v>
      </c>
      <c r="C103" s="134" t="s">
        <v>33</v>
      </c>
      <c r="D103" s="10" t="s">
        <v>114</v>
      </c>
      <c r="E103" s="10" t="s">
        <v>61</v>
      </c>
      <c r="F103" s="10" t="s">
        <v>66</v>
      </c>
      <c r="G103" s="10">
        <f t="shared" si="16"/>
        <v>790</v>
      </c>
      <c r="H103" s="10">
        <f t="shared" si="20"/>
        <v>690</v>
      </c>
      <c r="I103" s="10">
        <f t="shared" si="21"/>
        <v>700</v>
      </c>
    </row>
    <row r="104" spans="1:9" x14ac:dyDescent="0.3">
      <c r="A104" s="3" t="s">
        <v>451</v>
      </c>
      <c r="B104" s="132" t="s">
        <v>63</v>
      </c>
      <c r="C104" s="134" t="s">
        <v>118</v>
      </c>
      <c r="D104" s="10" t="s">
        <v>48</v>
      </c>
      <c r="E104" s="10" t="s">
        <v>48</v>
      </c>
      <c r="F104" s="10" t="s">
        <v>48</v>
      </c>
      <c r="G104" s="10">
        <f t="shared" si="16"/>
        <v>590</v>
      </c>
      <c r="H104" s="10">
        <f t="shared" si="20"/>
        <v>590</v>
      </c>
      <c r="I104" s="10">
        <f t="shared" si="21"/>
        <v>590</v>
      </c>
    </row>
    <row r="105" spans="1:9" x14ac:dyDescent="0.3">
      <c r="A105" s="3" t="s">
        <v>452</v>
      </c>
      <c r="B105" s="132" t="s">
        <v>95</v>
      </c>
      <c r="C105" s="134" t="s">
        <v>36</v>
      </c>
      <c r="D105" s="10" t="s">
        <v>52</v>
      </c>
      <c r="E105" s="10" t="s">
        <v>63</v>
      </c>
      <c r="F105" s="10" t="s">
        <v>53</v>
      </c>
      <c r="G105" s="10">
        <f t="shared" si="16"/>
        <v>610</v>
      </c>
      <c r="H105" s="10">
        <f t="shared" si="20"/>
        <v>600</v>
      </c>
      <c r="I105" s="10">
        <f t="shared" si="21"/>
        <v>670</v>
      </c>
    </row>
    <row r="106" spans="1:9" x14ac:dyDescent="0.3">
      <c r="A106" s="3" t="s">
        <v>453</v>
      </c>
      <c r="B106" s="132" t="s">
        <v>50</v>
      </c>
      <c r="C106" s="134" t="s">
        <v>36</v>
      </c>
      <c r="D106" s="10" t="s">
        <v>80</v>
      </c>
      <c r="E106" s="10" t="s">
        <v>95</v>
      </c>
      <c r="F106" s="10" t="s">
        <v>96</v>
      </c>
      <c r="G106" s="10">
        <f t="shared" si="16"/>
        <v>480</v>
      </c>
      <c r="H106" s="10">
        <f t="shared" si="20"/>
        <v>500</v>
      </c>
      <c r="I106" s="10">
        <f t="shared" si="21"/>
        <v>510</v>
      </c>
    </row>
    <row r="107" spans="1:9" x14ac:dyDescent="0.3">
      <c r="A107" s="3" t="s">
        <v>454</v>
      </c>
      <c r="B107" s="132" t="s">
        <v>85</v>
      </c>
      <c r="C107" s="134" t="s">
        <v>33</v>
      </c>
      <c r="D107" s="10" t="s">
        <v>50</v>
      </c>
      <c r="E107" s="10" t="s">
        <v>50</v>
      </c>
      <c r="F107" s="10" t="s">
        <v>50</v>
      </c>
      <c r="G107" s="10">
        <f t="shared" si="16"/>
        <v>580</v>
      </c>
      <c r="H107" s="10">
        <f t="shared" si="20"/>
        <v>580</v>
      </c>
      <c r="I107" s="10">
        <f t="shared" si="21"/>
        <v>580</v>
      </c>
    </row>
    <row r="108" spans="1:9" x14ac:dyDescent="0.3">
      <c r="A108" s="3" t="s">
        <v>455</v>
      </c>
      <c r="B108" s="132" t="s">
        <v>68</v>
      </c>
      <c r="C108" s="134" t="s">
        <v>32</v>
      </c>
      <c r="D108" s="10" t="s">
        <v>85</v>
      </c>
      <c r="E108" s="10" t="s">
        <v>85</v>
      </c>
      <c r="F108" s="10" t="s">
        <v>61</v>
      </c>
      <c r="G108" s="10">
        <f t="shared" ref="G108:G111" si="22">D108*1000</f>
        <v>630</v>
      </c>
      <c r="H108" s="10">
        <f t="shared" si="20"/>
        <v>630</v>
      </c>
      <c r="I108" s="10">
        <f t="shared" si="21"/>
        <v>690</v>
      </c>
    </row>
    <row r="109" spans="1:9" x14ac:dyDescent="0.3">
      <c r="A109" s="3" t="s">
        <v>456</v>
      </c>
      <c r="B109" s="132" t="s">
        <v>109</v>
      </c>
      <c r="C109" s="134" t="s">
        <v>33</v>
      </c>
      <c r="D109" s="10" t="s">
        <v>81</v>
      </c>
      <c r="E109" s="10" t="s">
        <v>68</v>
      </c>
      <c r="F109" s="10" t="s">
        <v>63</v>
      </c>
      <c r="G109" s="10">
        <f t="shared" si="22"/>
        <v>540</v>
      </c>
      <c r="H109" s="10">
        <f t="shared" si="20"/>
        <v>550</v>
      </c>
      <c r="I109" s="10">
        <f t="shared" si="21"/>
        <v>600</v>
      </c>
    </row>
    <row r="110" spans="1:9" x14ac:dyDescent="0.3">
      <c r="A110" s="3" t="s">
        <v>470</v>
      </c>
      <c r="B110" s="132" t="s">
        <v>96</v>
      </c>
      <c r="C110" s="134" t="s">
        <v>33</v>
      </c>
      <c r="D110" s="10" t="s">
        <v>67</v>
      </c>
      <c r="E110" s="10" t="s">
        <v>109</v>
      </c>
      <c r="F110" s="10" t="s">
        <v>109</v>
      </c>
      <c r="G110" s="10">
        <f t="shared" si="22"/>
        <v>710</v>
      </c>
      <c r="H110" s="10">
        <f t="shared" si="20"/>
        <v>720</v>
      </c>
      <c r="I110" s="10">
        <f t="shared" si="21"/>
        <v>720</v>
      </c>
    </row>
    <row r="111" spans="1:9" x14ac:dyDescent="0.3">
      <c r="A111" s="3" t="s">
        <v>457</v>
      </c>
      <c r="B111" s="132" t="s">
        <v>53</v>
      </c>
      <c r="C111" s="134" t="s">
        <v>33</v>
      </c>
      <c r="D111" s="10" t="s">
        <v>47</v>
      </c>
      <c r="E111" s="10" t="s">
        <v>96</v>
      </c>
      <c r="F111" s="10" t="s">
        <v>68</v>
      </c>
      <c r="G111" s="10">
        <f t="shared" si="22"/>
        <v>520</v>
      </c>
      <c r="H111" s="10">
        <f t="shared" si="20"/>
        <v>510</v>
      </c>
      <c r="I111" s="10">
        <f t="shared" si="21"/>
        <v>550</v>
      </c>
    </row>
  </sheetData>
  <sortState xmlns:xlrd2="http://schemas.microsoft.com/office/spreadsheetml/2017/richdata2" ref="A5:I111">
    <sortCondition ref="A4:A111"/>
  </sortState>
  <mergeCells count="6">
    <mergeCell ref="A1:A2"/>
    <mergeCell ref="G1:G2"/>
    <mergeCell ref="H1:I1"/>
    <mergeCell ref="C1:C2"/>
    <mergeCell ref="E1:F1"/>
    <mergeCell ref="D1:D2"/>
  </mergeCells>
  <phoneticPr fontId="34" type="noConversion"/>
  <pageMargins left="0.7" right="0.7" top="0.75" bottom="0.75" header="0.3" footer="0.3"/>
  <pageSetup orientation="portrait" horizontalDpi="360" verticalDpi="360" r:id="rId1"/>
  <ignoredErrors>
    <ignoredError sqref="D4:F4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15F71-7A3D-4EC6-8EB1-EE621E86F697}">
  <sheetPr codeName="Sheet5"/>
  <dimension ref="A1:C12"/>
  <sheetViews>
    <sheetView workbookViewId="0">
      <selection activeCell="E29" sqref="E29"/>
    </sheetView>
  </sheetViews>
  <sheetFormatPr defaultRowHeight="14.4" x14ac:dyDescent="0.3"/>
  <cols>
    <col min="1" max="1" width="22" customWidth="1"/>
    <col min="2" max="2" width="18" customWidth="1"/>
    <col min="3" max="3" width="28.77734375" bestFit="1" customWidth="1"/>
  </cols>
  <sheetData>
    <row r="1" spans="1:3" ht="27" customHeight="1" x14ac:dyDescent="0.3">
      <c r="A1" s="7" t="s">
        <v>0</v>
      </c>
      <c r="B1" s="7" t="s">
        <v>4</v>
      </c>
      <c r="C1" s="7" t="s">
        <v>2</v>
      </c>
    </row>
    <row r="2" spans="1:3" x14ac:dyDescent="0.3">
      <c r="A2" s="3" t="s">
        <v>10</v>
      </c>
      <c r="B2" s="3">
        <v>3.3000000000000003E-5</v>
      </c>
      <c r="C2" s="3" t="s">
        <v>14</v>
      </c>
    </row>
    <row r="3" spans="1:3" x14ac:dyDescent="0.3">
      <c r="A3" s="3" t="s">
        <v>21</v>
      </c>
      <c r="B3" s="3">
        <v>3.3000000000000003E-5</v>
      </c>
      <c r="C3" s="3" t="s">
        <v>14</v>
      </c>
    </row>
    <row r="4" spans="1:3" x14ac:dyDescent="0.3">
      <c r="A4" s="3" t="s">
        <v>22</v>
      </c>
      <c r="B4" s="3">
        <v>3.3000000000000003E-5</v>
      </c>
      <c r="C4" s="3" t="s">
        <v>14</v>
      </c>
    </row>
    <row r="5" spans="1:3" x14ac:dyDescent="0.3">
      <c r="A5" s="3" t="s">
        <v>11</v>
      </c>
      <c r="B5" s="3">
        <v>3.6000000000000001E-5</v>
      </c>
      <c r="C5" s="3" t="s">
        <v>15</v>
      </c>
    </row>
    <row r="6" spans="1:3" x14ac:dyDescent="0.3">
      <c r="A6" s="3" t="s">
        <v>12</v>
      </c>
      <c r="B6" s="3">
        <v>3.8000000000000002E-5</v>
      </c>
      <c r="C6" s="3" t="s">
        <v>16</v>
      </c>
    </row>
    <row r="7" spans="1:3" x14ac:dyDescent="0.3">
      <c r="A7" s="3" t="s">
        <v>5</v>
      </c>
      <c r="B7" s="3">
        <v>4.0000000000000003E-5</v>
      </c>
      <c r="C7" s="3" t="s">
        <v>17</v>
      </c>
    </row>
    <row r="8" spans="1:3" x14ac:dyDescent="0.3">
      <c r="A8" s="3" t="s">
        <v>6</v>
      </c>
      <c r="B8" s="3">
        <v>4.0399999999999998E-2</v>
      </c>
      <c r="C8" s="3" t="s">
        <v>17</v>
      </c>
    </row>
    <row r="9" spans="1:3" x14ac:dyDescent="0.3">
      <c r="A9" s="3" t="s">
        <v>7</v>
      </c>
      <c r="B9" s="3">
        <v>1.0550000000000001E-6</v>
      </c>
      <c r="C9" s="3" t="s">
        <v>18</v>
      </c>
    </row>
    <row r="10" spans="1:3" x14ac:dyDescent="0.3">
      <c r="A10" s="3" t="s">
        <v>8</v>
      </c>
      <c r="B10" s="3">
        <v>3.8500000000000001E-5</v>
      </c>
      <c r="C10" s="3" t="s">
        <v>18</v>
      </c>
    </row>
    <row r="11" spans="1:3" x14ac:dyDescent="0.3">
      <c r="A11" s="3" t="s">
        <v>9</v>
      </c>
      <c r="B11" s="3">
        <v>4.7299999999999998E-5</v>
      </c>
      <c r="C11" s="3" t="s">
        <v>19</v>
      </c>
    </row>
    <row r="12" spans="1:3" x14ac:dyDescent="0.3">
      <c r="A12" s="3" t="s">
        <v>13</v>
      </c>
      <c r="B12" s="3">
        <v>1.89E-2</v>
      </c>
      <c r="C12" s="3" t="s">
        <v>20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C0F05-D558-479C-8A1E-68F2052AB129}">
  <sheetPr codeName="Sheet7"/>
  <dimension ref="A1:D54"/>
  <sheetViews>
    <sheetView workbookViewId="0">
      <selection activeCell="A36" sqref="A36"/>
    </sheetView>
  </sheetViews>
  <sheetFormatPr defaultRowHeight="14.4" x14ac:dyDescent="0.3"/>
  <cols>
    <col min="1" max="1" width="22" customWidth="1"/>
    <col min="2" max="2" width="27.6640625" hidden="1" customWidth="1"/>
    <col min="3" max="3" width="27.6640625" customWidth="1"/>
  </cols>
  <sheetData>
    <row r="1" spans="1:4" ht="27" customHeight="1" x14ac:dyDescent="0.3">
      <c r="A1" s="13" t="s">
        <v>0</v>
      </c>
      <c r="B1" s="13" t="s">
        <v>199</v>
      </c>
      <c r="C1" s="13" t="s">
        <v>200</v>
      </c>
    </row>
    <row r="2" spans="1:4" s="16" customFormat="1" ht="17.399999999999999" customHeight="1" x14ac:dyDescent="0.3">
      <c r="A2" s="15" t="s">
        <v>23</v>
      </c>
      <c r="B2" s="15">
        <v>840</v>
      </c>
      <c r="C2" s="15">
        <v>0.84</v>
      </c>
    </row>
    <row r="3" spans="1:4" s="16" customFormat="1" ht="17.399999999999999" customHeight="1" x14ac:dyDescent="0.3">
      <c r="A3" s="15" t="s">
        <v>151</v>
      </c>
      <c r="B3" s="15">
        <v>1200</v>
      </c>
      <c r="C3" s="15">
        <v>1.2</v>
      </c>
    </row>
    <row r="4" spans="1:4" s="16" customFormat="1" ht="17.399999999999999" customHeight="1" x14ac:dyDescent="0.3">
      <c r="A4" s="15" t="s">
        <v>193</v>
      </c>
      <c r="B4" s="15">
        <v>468.1</v>
      </c>
      <c r="C4" s="15">
        <v>0.46810000000000002</v>
      </c>
    </row>
    <row r="5" spans="1:4" s="16" customFormat="1" ht="17.399999999999999" customHeight="1" x14ac:dyDescent="0.3">
      <c r="A5" s="15" t="s">
        <v>1</v>
      </c>
      <c r="B5" s="15">
        <v>780</v>
      </c>
      <c r="C5" s="15">
        <v>0.78</v>
      </c>
    </row>
    <row r="6" spans="1:4" x14ac:dyDescent="0.3">
      <c r="A6" s="15" t="s">
        <v>202</v>
      </c>
      <c r="B6" s="15">
        <v>780</v>
      </c>
      <c r="C6" s="15">
        <v>0.78</v>
      </c>
      <c r="D6" s="16"/>
    </row>
    <row r="7" spans="1:4" x14ac:dyDescent="0.3">
      <c r="A7" s="15" t="s">
        <v>201</v>
      </c>
      <c r="B7" s="15">
        <v>780</v>
      </c>
      <c r="C7" s="15">
        <v>0.78</v>
      </c>
      <c r="D7" s="16"/>
    </row>
    <row r="8" spans="1:4" x14ac:dyDescent="0.3">
      <c r="A8" s="15" t="s">
        <v>203</v>
      </c>
      <c r="B8" s="15">
        <v>780</v>
      </c>
      <c r="C8" s="15">
        <v>0.78</v>
      </c>
      <c r="D8" s="16"/>
    </row>
    <row r="9" spans="1:4" s="16" customFormat="1" ht="17.399999999999999" customHeight="1" x14ac:dyDescent="0.3">
      <c r="A9" s="15" t="s">
        <v>25</v>
      </c>
      <c r="B9" s="15">
        <v>721</v>
      </c>
      <c r="C9" s="15">
        <v>0.72099999999999997</v>
      </c>
    </row>
    <row r="10" spans="1:4" s="16" customFormat="1" ht="17.399999999999999" customHeight="1" x14ac:dyDescent="0.3">
      <c r="A10" s="15" t="s">
        <v>26</v>
      </c>
      <c r="B10" s="15">
        <v>810</v>
      </c>
      <c r="C10" s="15">
        <v>0.81</v>
      </c>
    </row>
    <row r="11" spans="1:4" s="16" customFormat="1" ht="17.399999999999999" customHeight="1" x14ac:dyDescent="0.3">
      <c r="A11" s="15" t="s">
        <v>152</v>
      </c>
      <c r="B11" s="15">
        <f>1615/2</f>
        <v>807.5</v>
      </c>
      <c r="C11" s="15">
        <v>0.8075</v>
      </c>
    </row>
    <row r="12" spans="1:4" s="16" customFormat="1" ht="17.399999999999999" customHeight="1" x14ac:dyDescent="0.3">
      <c r="A12" s="15" t="s">
        <v>153</v>
      </c>
      <c r="B12" s="15">
        <v>786</v>
      </c>
      <c r="C12" s="15">
        <v>0.78600000000000003</v>
      </c>
    </row>
    <row r="13" spans="1:4" s="16" customFormat="1" ht="17.399999999999999" customHeight="1" x14ac:dyDescent="0.3">
      <c r="A13" s="15" t="s">
        <v>154</v>
      </c>
      <c r="B13" s="15">
        <v>872.1</v>
      </c>
      <c r="C13" s="15">
        <v>0.87209999999999999</v>
      </c>
    </row>
    <row r="14" spans="1:4" s="16" customFormat="1" ht="17.399999999999999" customHeight="1" x14ac:dyDescent="0.3">
      <c r="A14" s="15" t="s">
        <v>155</v>
      </c>
      <c r="B14" s="15">
        <v>832</v>
      </c>
      <c r="C14" s="15">
        <v>0.83199999999999996</v>
      </c>
    </row>
    <row r="15" spans="1:4" s="16" customFormat="1" ht="17.399999999999999" customHeight="1" x14ac:dyDescent="0.3">
      <c r="A15" s="15" t="s">
        <v>156</v>
      </c>
      <c r="B15" s="15">
        <v>991</v>
      </c>
      <c r="C15" s="15">
        <v>0.99099999999999999</v>
      </c>
    </row>
    <row r="16" spans="1:4" s="16" customFormat="1" ht="17.399999999999999" customHeight="1" x14ac:dyDescent="0.3">
      <c r="A16" s="15" t="s">
        <v>3</v>
      </c>
      <c r="B16" s="15">
        <v>540</v>
      </c>
      <c r="C16" s="15">
        <v>0.54</v>
      </c>
    </row>
    <row r="17" spans="1:3" s="16" customFormat="1" ht="17.399999999999999" customHeight="1" x14ac:dyDescent="0.3">
      <c r="A17" s="15" t="s">
        <v>157</v>
      </c>
      <c r="B17" s="15">
        <v>1178</v>
      </c>
      <c r="C17" s="15">
        <v>1.2190000000000001</v>
      </c>
    </row>
    <row r="18" spans="1:3" s="16" customFormat="1" ht="17.399999999999999" customHeight="1" x14ac:dyDescent="0.3">
      <c r="A18" s="15" t="s">
        <v>158</v>
      </c>
      <c r="B18" s="15">
        <v>770</v>
      </c>
      <c r="C18" s="15">
        <v>0.77</v>
      </c>
    </row>
    <row r="19" spans="1:3" s="16" customFormat="1" ht="17.399999999999999" customHeight="1" x14ac:dyDescent="0.3">
      <c r="A19" s="15" t="s">
        <v>159</v>
      </c>
      <c r="B19" s="15">
        <v>1013</v>
      </c>
      <c r="C19" s="15">
        <v>1.0129999999999999</v>
      </c>
    </row>
    <row r="20" spans="1:3" s="16" customFormat="1" ht="17.399999999999999" customHeight="1" x14ac:dyDescent="0.3">
      <c r="A20" s="15" t="s">
        <v>160</v>
      </c>
      <c r="B20" s="15">
        <v>800</v>
      </c>
      <c r="C20" s="15">
        <v>0.8</v>
      </c>
    </row>
    <row r="21" spans="1:3" s="16" customFormat="1" ht="17.399999999999999" customHeight="1" x14ac:dyDescent="0.3">
      <c r="A21" s="15" t="s">
        <v>161</v>
      </c>
      <c r="B21" s="15">
        <v>2230</v>
      </c>
      <c r="C21" s="15">
        <v>2.23</v>
      </c>
    </row>
    <row r="22" spans="1:3" s="16" customFormat="1" ht="17.399999999999999" customHeight="1" x14ac:dyDescent="0.3">
      <c r="A22" s="15" t="s">
        <v>162</v>
      </c>
      <c r="B22" s="15">
        <v>840</v>
      </c>
      <c r="C22" s="15">
        <v>0.84</v>
      </c>
    </row>
    <row r="23" spans="1:3" s="16" customFormat="1" ht="17.399999999999999" customHeight="1" x14ac:dyDescent="0.3">
      <c r="A23" s="15" t="s">
        <v>163</v>
      </c>
      <c r="B23" s="15">
        <v>525</v>
      </c>
      <c r="C23" s="15">
        <v>0.52500000000000002</v>
      </c>
    </row>
    <row r="24" spans="1:3" s="16" customFormat="1" ht="17.399999999999999" customHeight="1" x14ac:dyDescent="0.3">
      <c r="A24" s="15" t="s">
        <v>164</v>
      </c>
      <c r="B24" s="15">
        <v>916</v>
      </c>
      <c r="C24" s="15">
        <v>0.91600000000000004</v>
      </c>
    </row>
    <row r="25" spans="1:3" s="16" customFormat="1" ht="17.399999999999999" customHeight="1" x14ac:dyDescent="0.3">
      <c r="A25" s="15" t="s">
        <v>165</v>
      </c>
      <c r="B25" s="15">
        <v>790</v>
      </c>
      <c r="C25" s="15">
        <v>0.79</v>
      </c>
    </row>
    <row r="26" spans="1:3" s="16" customFormat="1" ht="17.399999999999999" customHeight="1" x14ac:dyDescent="0.3">
      <c r="A26" s="15" t="s">
        <v>166</v>
      </c>
      <c r="B26" s="15">
        <v>1506</v>
      </c>
      <c r="C26" s="15">
        <v>1.506</v>
      </c>
    </row>
    <row r="27" spans="1:3" s="16" customFormat="1" ht="17.399999999999999" customHeight="1" x14ac:dyDescent="0.3">
      <c r="A27" s="15" t="s">
        <v>167</v>
      </c>
      <c r="B27" s="15"/>
      <c r="C27" s="15">
        <v>0</v>
      </c>
    </row>
    <row r="28" spans="1:3" s="16" customFormat="1" ht="17.399999999999999" customHeight="1" x14ac:dyDescent="0.3">
      <c r="A28" s="15" t="s">
        <v>168</v>
      </c>
      <c r="B28" s="15"/>
      <c r="C28" s="15">
        <v>0</v>
      </c>
    </row>
    <row r="29" spans="1:3" s="16" customFormat="1" ht="17.399999999999999" customHeight="1" x14ac:dyDescent="0.3">
      <c r="A29" s="15" t="s">
        <v>169</v>
      </c>
      <c r="B29" s="15"/>
      <c r="C29" s="15">
        <v>0</v>
      </c>
    </row>
    <row r="30" spans="1:3" s="16" customFormat="1" ht="17.399999999999999" customHeight="1" x14ac:dyDescent="0.3">
      <c r="A30" s="15" t="s">
        <v>170</v>
      </c>
      <c r="B30" s="15"/>
      <c r="C30" s="15">
        <v>0</v>
      </c>
    </row>
    <row r="31" spans="1:3" s="16" customFormat="1" ht="17.399999999999999" customHeight="1" x14ac:dyDescent="0.3">
      <c r="A31" s="15" t="s">
        <v>171</v>
      </c>
      <c r="B31" s="15"/>
      <c r="C31" s="15">
        <v>0</v>
      </c>
    </row>
    <row r="32" spans="1:3" s="16" customFormat="1" ht="17.399999999999999" customHeight="1" x14ac:dyDescent="0.3">
      <c r="A32" s="15" t="s">
        <v>172</v>
      </c>
      <c r="B32" s="15"/>
      <c r="C32" s="15">
        <v>0</v>
      </c>
    </row>
    <row r="33" spans="1:3" s="16" customFormat="1" ht="17.399999999999999" customHeight="1" x14ac:dyDescent="0.3">
      <c r="A33" s="15" t="s">
        <v>173</v>
      </c>
      <c r="B33" s="15"/>
      <c r="C33" s="15">
        <v>0</v>
      </c>
    </row>
    <row r="34" spans="1:3" s="16" customFormat="1" ht="17.399999999999999" customHeight="1" x14ac:dyDescent="0.3">
      <c r="A34" s="15" t="s">
        <v>174</v>
      </c>
      <c r="B34" s="15"/>
      <c r="C34" s="15">
        <v>0</v>
      </c>
    </row>
    <row r="35" spans="1:3" s="16" customFormat="1" ht="17.399999999999999" customHeight="1" x14ac:dyDescent="0.3">
      <c r="A35" s="15" t="s">
        <v>192</v>
      </c>
      <c r="B35" s="15"/>
      <c r="C35" s="15">
        <v>0</v>
      </c>
    </row>
    <row r="36" spans="1:3" s="16" customFormat="1" ht="17.399999999999999" customHeight="1" x14ac:dyDescent="0.3">
      <c r="A36" s="15" t="s">
        <v>175</v>
      </c>
      <c r="B36" s="15"/>
      <c r="C36" s="15">
        <v>0</v>
      </c>
    </row>
    <row r="37" spans="1:3" s="16" customFormat="1" ht="17.399999999999999" customHeight="1" x14ac:dyDescent="0.3">
      <c r="A37" s="15" t="s">
        <v>176</v>
      </c>
      <c r="B37" s="15"/>
      <c r="C37" s="15">
        <v>0</v>
      </c>
    </row>
    <row r="38" spans="1:3" s="16" customFormat="1" ht="17.399999999999999" customHeight="1" x14ac:dyDescent="0.3">
      <c r="A38" s="15" t="s">
        <v>177</v>
      </c>
      <c r="B38" s="15"/>
      <c r="C38" s="15">
        <v>0</v>
      </c>
    </row>
    <row r="39" spans="1:3" s="16" customFormat="1" ht="17.399999999999999" customHeight="1" x14ac:dyDescent="0.3">
      <c r="A39" s="15" t="s">
        <v>178</v>
      </c>
      <c r="B39" s="15"/>
      <c r="C39" s="15">
        <v>0</v>
      </c>
    </row>
    <row r="40" spans="1:3" s="16" customFormat="1" ht="17.399999999999999" customHeight="1" x14ac:dyDescent="0.3">
      <c r="A40" s="15" t="s">
        <v>179</v>
      </c>
      <c r="B40" s="15"/>
      <c r="C40" s="15">
        <v>0</v>
      </c>
    </row>
    <row r="41" spans="1:3" s="16" customFormat="1" ht="17.399999999999999" customHeight="1" x14ac:dyDescent="0.3">
      <c r="A41" s="15" t="s">
        <v>180</v>
      </c>
      <c r="B41" s="15"/>
      <c r="C41" s="15">
        <v>0</v>
      </c>
    </row>
    <row r="42" spans="1:3" s="16" customFormat="1" ht="17.399999999999999" customHeight="1" x14ac:dyDescent="0.3">
      <c r="A42" s="15" t="s">
        <v>181</v>
      </c>
      <c r="B42" s="15">
        <v>835</v>
      </c>
      <c r="C42" s="15">
        <v>0.83499999999999996</v>
      </c>
    </row>
    <row r="43" spans="1:3" s="16" customFormat="1" ht="17.399999999999999" customHeight="1" x14ac:dyDescent="0.3">
      <c r="A43" s="15" t="s">
        <v>187</v>
      </c>
      <c r="B43" s="15">
        <v>875</v>
      </c>
      <c r="C43" s="15">
        <v>0.875</v>
      </c>
    </row>
    <row r="44" spans="1:3" s="16" customFormat="1" ht="17.399999999999999" customHeight="1" x14ac:dyDescent="0.3">
      <c r="A44" s="15" t="s">
        <v>188</v>
      </c>
      <c r="B44" s="15">
        <v>875</v>
      </c>
      <c r="C44" s="15">
        <v>0.875</v>
      </c>
    </row>
    <row r="45" spans="1:3" s="16" customFormat="1" ht="17.399999999999999" customHeight="1" x14ac:dyDescent="0.3">
      <c r="A45" s="15" t="s">
        <v>189</v>
      </c>
      <c r="B45" s="15"/>
      <c r="C45" s="15">
        <v>0</v>
      </c>
    </row>
    <row r="46" spans="1:3" s="16" customFormat="1" ht="17.399999999999999" customHeight="1" x14ac:dyDescent="0.3">
      <c r="A46" s="15" t="s">
        <v>190</v>
      </c>
      <c r="B46" s="15"/>
      <c r="C46" s="15">
        <v>0</v>
      </c>
    </row>
    <row r="47" spans="1:3" s="16" customFormat="1" ht="17.399999999999999" customHeight="1" x14ac:dyDescent="0.3">
      <c r="A47" s="15" t="s">
        <v>191</v>
      </c>
      <c r="B47" s="15"/>
      <c r="C47" s="15">
        <v>0</v>
      </c>
    </row>
    <row r="49" spans="1:3" x14ac:dyDescent="0.3">
      <c r="A49" s="18" t="s">
        <v>194</v>
      </c>
    </row>
    <row r="50" spans="1:3" s="16" customFormat="1" ht="17.399999999999999" customHeight="1" x14ac:dyDescent="0.3">
      <c r="A50" s="15" t="s">
        <v>182</v>
      </c>
      <c r="B50" s="15">
        <v>1400</v>
      </c>
      <c r="C50" s="15">
        <v>1.4</v>
      </c>
    </row>
    <row r="51" spans="1:3" s="16" customFormat="1" ht="17.399999999999999" customHeight="1" x14ac:dyDescent="0.3">
      <c r="A51" s="15" t="s">
        <v>183</v>
      </c>
      <c r="B51" s="15"/>
      <c r="C51" s="15">
        <v>0</v>
      </c>
    </row>
    <row r="52" spans="1:3" s="16" customFormat="1" ht="17.399999999999999" customHeight="1" x14ac:dyDescent="0.3">
      <c r="A52" s="15" t="s">
        <v>184</v>
      </c>
      <c r="B52" s="15"/>
      <c r="C52" s="15">
        <v>0</v>
      </c>
    </row>
    <row r="53" spans="1:3" s="16" customFormat="1" ht="17.399999999999999" customHeight="1" x14ac:dyDescent="0.3">
      <c r="A53" s="15" t="s">
        <v>185</v>
      </c>
      <c r="B53" s="15"/>
      <c r="C53" s="15">
        <v>0</v>
      </c>
    </row>
    <row r="54" spans="1:3" s="16" customFormat="1" ht="17.399999999999999" customHeight="1" x14ac:dyDescent="0.3">
      <c r="A54" s="15" t="s">
        <v>186</v>
      </c>
      <c r="B54" s="15"/>
      <c r="C54" s="15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3D623-D053-47F6-BDBB-48EC070FC4F4}">
  <sheetPr codeName="Sheet8"/>
  <dimension ref="A1:D52"/>
  <sheetViews>
    <sheetView topLeftCell="A31" workbookViewId="0">
      <selection activeCell="A36" sqref="A36"/>
    </sheetView>
  </sheetViews>
  <sheetFormatPr defaultRowHeight="14.4" x14ac:dyDescent="0.3"/>
  <cols>
    <col min="1" max="1" width="22" customWidth="1"/>
    <col min="2" max="2" width="27.6640625" customWidth="1"/>
  </cols>
  <sheetData>
    <row r="1" spans="1:4" ht="27" customHeight="1" x14ac:dyDescent="0.3">
      <c r="A1" s="13" t="s">
        <v>0</v>
      </c>
      <c r="B1" s="13" t="s">
        <v>150</v>
      </c>
    </row>
    <row r="2" spans="1:4" s="16" customFormat="1" ht="17.399999999999999" customHeight="1" x14ac:dyDescent="0.3">
      <c r="A2" s="15" t="s">
        <v>23</v>
      </c>
      <c r="B2" s="15">
        <f>42.3/1000000</f>
        <v>4.2299999999999998E-5</v>
      </c>
    </row>
    <row r="3" spans="1:4" s="16" customFormat="1" ht="17.399999999999999" customHeight="1" x14ac:dyDescent="0.3">
      <c r="A3" s="15" t="s">
        <v>151</v>
      </c>
      <c r="B3" s="15">
        <f>27.5/1000000</f>
        <v>2.7500000000000001E-5</v>
      </c>
    </row>
    <row r="4" spans="1:4" s="16" customFormat="1" ht="17.399999999999999" customHeight="1" x14ac:dyDescent="0.3">
      <c r="A4" s="15" t="s">
        <v>193</v>
      </c>
      <c r="B4" s="15">
        <f>44.2/1000000</f>
        <v>4.4200000000000004E-5</v>
      </c>
    </row>
    <row r="5" spans="1:4" s="16" customFormat="1" ht="17.399999999999999" customHeight="1" x14ac:dyDescent="0.3">
      <c r="A5" s="15" t="s">
        <v>1</v>
      </c>
      <c r="B5" s="15">
        <f>44.3/1000000</f>
        <v>4.4299999999999999E-5</v>
      </c>
    </row>
    <row r="6" spans="1:4" x14ac:dyDescent="0.3">
      <c r="A6" s="15" t="s">
        <v>202</v>
      </c>
      <c r="B6" s="15">
        <f t="shared" ref="B6:B8" si="0">44.3/1000000</f>
        <v>4.4299999999999999E-5</v>
      </c>
      <c r="C6" s="16"/>
      <c r="D6" s="16"/>
    </row>
    <row r="7" spans="1:4" x14ac:dyDescent="0.3">
      <c r="A7" s="15" t="s">
        <v>201</v>
      </c>
      <c r="B7" s="15">
        <f>44.3/1000000</f>
        <v>4.4299999999999999E-5</v>
      </c>
      <c r="C7" s="16"/>
      <c r="D7" s="16"/>
    </row>
    <row r="8" spans="1:4" x14ac:dyDescent="0.3">
      <c r="A8" s="15" t="s">
        <v>203</v>
      </c>
      <c r="B8" s="15">
        <f t="shared" si="0"/>
        <v>4.4299999999999999E-5</v>
      </c>
      <c r="C8" s="16"/>
      <c r="D8" s="16"/>
    </row>
    <row r="9" spans="1:4" s="16" customFormat="1" ht="17.399999999999999" customHeight="1" x14ac:dyDescent="0.3">
      <c r="A9" s="15" t="s">
        <v>25</v>
      </c>
      <c r="B9" s="15">
        <f>44.3/1000000</f>
        <v>4.4299999999999999E-5</v>
      </c>
    </row>
    <row r="10" spans="1:4" s="16" customFormat="1" ht="17.399999999999999" customHeight="1" x14ac:dyDescent="0.3">
      <c r="A10" s="15" t="s">
        <v>26</v>
      </c>
      <c r="B10" s="15">
        <f>44.3/1000000</f>
        <v>4.4299999999999999E-5</v>
      </c>
    </row>
    <row r="11" spans="1:4" s="16" customFormat="1" ht="17.399999999999999" customHeight="1" x14ac:dyDescent="0.3">
      <c r="A11" s="15" t="s">
        <v>152</v>
      </c>
      <c r="B11" s="15">
        <v>4.4100000000000001E-5</v>
      </c>
    </row>
    <row r="12" spans="1:4" s="16" customFormat="1" ht="17.399999999999999" customHeight="1" x14ac:dyDescent="0.3">
      <c r="A12" s="15" t="s">
        <v>153</v>
      </c>
      <c r="B12" s="15">
        <f>43.8/1000000</f>
        <v>4.3799999999999994E-5</v>
      </c>
    </row>
    <row r="13" spans="1:4" s="16" customFormat="1" ht="17.399999999999999" customHeight="1" x14ac:dyDescent="0.3">
      <c r="A13" s="15" t="s">
        <v>154</v>
      </c>
      <c r="B13" s="15">
        <f>38.1/1000000</f>
        <v>3.8100000000000005E-5</v>
      </c>
    </row>
    <row r="14" spans="1:4" s="16" customFormat="1" ht="17.399999999999999" customHeight="1" x14ac:dyDescent="0.3">
      <c r="A14" s="15" t="s">
        <v>155</v>
      </c>
      <c r="B14" s="15">
        <f>43/1000000</f>
        <v>4.3000000000000002E-5</v>
      </c>
    </row>
    <row r="15" spans="1:4" s="16" customFormat="1" ht="17.399999999999999" customHeight="1" x14ac:dyDescent="0.3">
      <c r="A15" s="15" t="s">
        <v>156</v>
      </c>
      <c r="B15" s="15">
        <f>40.4/1000000</f>
        <v>4.0399999999999999E-5</v>
      </c>
    </row>
    <row r="16" spans="1:4" s="16" customFormat="1" ht="17.399999999999999" customHeight="1" x14ac:dyDescent="0.3">
      <c r="A16" s="15" t="s">
        <v>3</v>
      </c>
      <c r="B16" s="15">
        <f>47.3/1000000</f>
        <v>4.7299999999999998E-5</v>
      </c>
    </row>
    <row r="17" spans="1:2" s="16" customFormat="1" ht="17.399999999999999" customHeight="1" x14ac:dyDescent="0.3">
      <c r="A17" s="15" t="s">
        <v>157</v>
      </c>
      <c r="B17" s="15">
        <f>46.4/1000000</f>
        <v>4.6399999999999996E-5</v>
      </c>
    </row>
    <row r="18" spans="1:2" s="16" customFormat="1" ht="17.399999999999999" customHeight="1" x14ac:dyDescent="0.3">
      <c r="A18" s="15" t="s">
        <v>158</v>
      </c>
      <c r="B18" s="15">
        <f>44.5/1000000</f>
        <v>4.4499999999999997E-5</v>
      </c>
    </row>
    <row r="19" spans="1:2" s="16" customFormat="1" ht="17.399999999999999" customHeight="1" x14ac:dyDescent="0.3">
      <c r="A19" s="15" t="s">
        <v>159</v>
      </c>
      <c r="B19" s="15">
        <f>40.2/1000000</f>
        <v>4.0200000000000001E-5</v>
      </c>
    </row>
    <row r="20" spans="1:2" s="16" customFormat="1" ht="17.399999999999999" customHeight="1" x14ac:dyDescent="0.3">
      <c r="A20" s="15" t="s">
        <v>160</v>
      </c>
      <c r="B20" s="15">
        <f>40.2/1000000</f>
        <v>4.0200000000000001E-5</v>
      </c>
    </row>
    <row r="21" spans="1:2" s="16" customFormat="1" ht="17.399999999999999" customHeight="1" x14ac:dyDescent="0.3">
      <c r="A21" s="15" t="s">
        <v>161</v>
      </c>
      <c r="B21" s="15">
        <f>32.5/1000000</f>
        <v>3.2499999999999997E-5</v>
      </c>
    </row>
    <row r="22" spans="1:2" s="16" customFormat="1" ht="17.399999999999999" customHeight="1" x14ac:dyDescent="0.3">
      <c r="A22" s="15" t="s">
        <v>162</v>
      </c>
      <c r="B22" s="15">
        <f>43/1000000</f>
        <v>4.3000000000000002E-5</v>
      </c>
    </row>
    <row r="23" spans="1:2" s="16" customFormat="1" ht="17.399999999999999" customHeight="1" x14ac:dyDescent="0.3">
      <c r="A23" s="15" t="s">
        <v>163</v>
      </c>
      <c r="B23" s="15">
        <f>49.5/1000000</f>
        <v>4.9499999999999997E-5</v>
      </c>
    </row>
    <row r="24" spans="1:2" s="16" customFormat="1" ht="17.399999999999999" customHeight="1" x14ac:dyDescent="0.3">
      <c r="A24" s="15" t="s">
        <v>164</v>
      </c>
      <c r="B24" s="15">
        <f>40.2/1000000</f>
        <v>4.0200000000000001E-5</v>
      </c>
    </row>
    <row r="25" spans="1:2" s="16" customFormat="1" ht="17.399999999999999" customHeight="1" x14ac:dyDescent="0.3">
      <c r="A25" s="15" t="s">
        <v>165</v>
      </c>
      <c r="B25" s="15">
        <f>40.2/1000000</f>
        <v>4.0200000000000001E-5</v>
      </c>
    </row>
    <row r="26" spans="1:2" s="16" customFormat="1" ht="17.399999999999999" customHeight="1" x14ac:dyDescent="0.3">
      <c r="A26" s="15" t="s">
        <v>166</v>
      </c>
      <c r="B26" s="15">
        <f>26.7/1000000</f>
        <v>2.6699999999999998E-5</v>
      </c>
    </row>
    <row r="27" spans="1:2" s="16" customFormat="1" ht="17.399999999999999" customHeight="1" x14ac:dyDescent="0.3">
      <c r="A27" s="15" t="s">
        <v>167</v>
      </c>
      <c r="B27" s="15">
        <f>28.2/1000000</f>
        <v>2.8199999999999998E-5</v>
      </c>
    </row>
    <row r="28" spans="1:2" s="16" customFormat="1" ht="17.399999999999999" customHeight="1" x14ac:dyDescent="0.3">
      <c r="A28" s="15" t="s">
        <v>168</v>
      </c>
      <c r="B28" s="15">
        <f>25.8/1000000</f>
        <v>2.58E-5</v>
      </c>
    </row>
    <row r="29" spans="1:2" s="16" customFormat="1" ht="17.399999999999999" customHeight="1" x14ac:dyDescent="0.3">
      <c r="A29" s="15" t="s">
        <v>169</v>
      </c>
      <c r="B29" s="15">
        <f>18.9/1000000</f>
        <v>1.8899999999999999E-5</v>
      </c>
    </row>
    <row r="30" spans="1:2" s="16" customFormat="1" ht="17.399999999999999" customHeight="1" x14ac:dyDescent="0.3">
      <c r="A30" s="15" t="s">
        <v>170</v>
      </c>
      <c r="B30" s="15">
        <f>11.9/1000000</f>
        <v>1.19E-5</v>
      </c>
    </row>
    <row r="31" spans="1:2" s="16" customFormat="1" ht="17.399999999999999" customHeight="1" x14ac:dyDescent="0.3">
      <c r="A31" s="15" t="s">
        <v>171</v>
      </c>
      <c r="B31" s="15">
        <f>8.9/1000000</f>
        <v>8.9000000000000012E-6</v>
      </c>
    </row>
    <row r="32" spans="1:2" s="16" customFormat="1" ht="17.399999999999999" customHeight="1" x14ac:dyDescent="0.3">
      <c r="A32" s="15" t="s">
        <v>172</v>
      </c>
      <c r="B32" s="15">
        <f>20.7/1000000</f>
        <v>2.0699999999999998E-5</v>
      </c>
    </row>
    <row r="33" spans="1:2" s="16" customFormat="1" ht="17.399999999999999" customHeight="1" x14ac:dyDescent="0.3">
      <c r="A33" s="15" t="s">
        <v>173</v>
      </c>
      <c r="B33" s="15">
        <f>28.2/1000000</f>
        <v>2.8199999999999998E-5</v>
      </c>
    </row>
    <row r="34" spans="1:2" s="16" customFormat="1" ht="17.399999999999999" customHeight="1" x14ac:dyDescent="0.3">
      <c r="A34" s="15" t="s">
        <v>174</v>
      </c>
      <c r="B34" s="15">
        <f>28.2/1000000</f>
        <v>2.8199999999999998E-5</v>
      </c>
    </row>
    <row r="35" spans="1:2" s="16" customFormat="1" ht="17.399999999999999" customHeight="1" x14ac:dyDescent="0.3">
      <c r="A35" s="15" t="s">
        <v>192</v>
      </c>
      <c r="B35" s="15">
        <f>28/1000000</f>
        <v>2.8E-5</v>
      </c>
    </row>
    <row r="36" spans="1:2" s="16" customFormat="1" ht="17.399999999999999" customHeight="1" x14ac:dyDescent="0.3">
      <c r="A36" s="15" t="s">
        <v>175</v>
      </c>
      <c r="B36" s="15">
        <f>38.7/1000000</f>
        <v>3.8700000000000006E-5</v>
      </c>
    </row>
    <row r="37" spans="1:2" s="16" customFormat="1" ht="17.399999999999999" customHeight="1" x14ac:dyDescent="0.3">
      <c r="A37" s="15" t="s">
        <v>176</v>
      </c>
      <c r="B37" s="15">
        <f>38.7/1000000</f>
        <v>3.8700000000000006E-5</v>
      </c>
    </row>
    <row r="38" spans="1:2" s="16" customFormat="1" ht="17.399999999999999" customHeight="1" x14ac:dyDescent="0.3">
      <c r="A38" s="15" t="s">
        <v>177</v>
      </c>
      <c r="B38" s="15">
        <f>2.47/1000000</f>
        <v>2.4700000000000001E-6</v>
      </c>
    </row>
    <row r="39" spans="1:2" s="16" customFormat="1" ht="17.399999999999999" customHeight="1" x14ac:dyDescent="0.3">
      <c r="A39" s="15" t="s">
        <v>178</v>
      </c>
      <c r="B39" s="15">
        <f>7.06/1000000</f>
        <v>7.0599999999999993E-6</v>
      </c>
    </row>
    <row r="40" spans="1:2" s="16" customFormat="1" ht="17.399999999999999" customHeight="1" x14ac:dyDescent="0.3">
      <c r="A40" s="15" t="s">
        <v>179</v>
      </c>
      <c r="B40" s="15">
        <f>48/1000000</f>
        <v>4.8000000000000001E-5</v>
      </c>
    </row>
    <row r="41" spans="1:2" s="16" customFormat="1" ht="17.399999999999999" customHeight="1" x14ac:dyDescent="0.3">
      <c r="A41" s="15" t="s">
        <v>180</v>
      </c>
      <c r="B41" s="15">
        <f>10/1000000</f>
        <v>1.0000000000000001E-5</v>
      </c>
    </row>
    <row r="42" spans="1:2" s="16" customFormat="1" ht="17.399999999999999" customHeight="1" x14ac:dyDescent="0.3">
      <c r="A42" s="15" t="s">
        <v>181</v>
      </c>
      <c r="B42" s="15">
        <f>40.2/1000000</f>
        <v>4.0200000000000001E-5</v>
      </c>
    </row>
    <row r="43" spans="1:2" s="16" customFormat="1" ht="17.399999999999999" customHeight="1" x14ac:dyDescent="0.3">
      <c r="A43" s="15" t="s">
        <v>187</v>
      </c>
      <c r="B43" s="15">
        <f>27/1000000</f>
        <v>2.6999999999999999E-5</v>
      </c>
    </row>
    <row r="44" spans="1:2" s="16" customFormat="1" ht="17.399999999999999" customHeight="1" x14ac:dyDescent="0.3">
      <c r="A44" s="15" t="s">
        <v>188</v>
      </c>
      <c r="B44" s="15">
        <f>27/1000000</f>
        <v>2.6999999999999999E-5</v>
      </c>
    </row>
    <row r="45" spans="1:2" s="16" customFormat="1" ht="17.399999999999999" customHeight="1" x14ac:dyDescent="0.3">
      <c r="A45" s="15" t="s">
        <v>189</v>
      </c>
      <c r="B45" s="15">
        <f>50.4/1000000</f>
        <v>5.0399999999999999E-5</v>
      </c>
    </row>
    <row r="46" spans="1:2" s="16" customFormat="1" ht="17.399999999999999" customHeight="1" x14ac:dyDescent="0.3">
      <c r="A46" s="15" t="s">
        <v>190</v>
      </c>
      <c r="B46" s="15">
        <f>50.4/1000000</f>
        <v>5.0399999999999999E-5</v>
      </c>
    </row>
    <row r="47" spans="1:2" s="16" customFormat="1" ht="17.399999999999999" customHeight="1" x14ac:dyDescent="0.3">
      <c r="A47" s="15" t="s">
        <v>191</v>
      </c>
      <c r="B47" s="15">
        <f>50.4/1000000</f>
        <v>5.0399999999999999E-5</v>
      </c>
    </row>
    <row r="48" spans="1:2" s="16" customFormat="1" ht="17.399999999999999" customHeight="1" x14ac:dyDescent="0.3">
      <c r="A48" s="15" t="s">
        <v>182</v>
      </c>
      <c r="B48" s="15">
        <f>9.76/1000000</f>
        <v>9.7599999999999997E-6</v>
      </c>
    </row>
    <row r="49" spans="1:2" s="16" customFormat="1" ht="17.399999999999999" customHeight="1" x14ac:dyDescent="0.3">
      <c r="A49" s="15" t="s">
        <v>183</v>
      </c>
      <c r="B49" s="15">
        <f>15.6/1000000</f>
        <v>1.56E-5</v>
      </c>
    </row>
    <row r="50" spans="1:2" s="16" customFormat="1" ht="17.399999999999999" customHeight="1" x14ac:dyDescent="0.3">
      <c r="A50" s="15" t="s">
        <v>184</v>
      </c>
      <c r="B50" s="15">
        <f>29.5/1000000</f>
        <v>2.9499999999999999E-5</v>
      </c>
    </row>
    <row r="51" spans="1:2" s="16" customFormat="1" ht="17.399999999999999" customHeight="1" x14ac:dyDescent="0.3">
      <c r="A51" s="15" t="s">
        <v>185</v>
      </c>
      <c r="B51" s="15">
        <f>11.6/1000000</f>
        <v>1.1599999999999999E-5</v>
      </c>
    </row>
    <row r="52" spans="1:2" s="16" customFormat="1" ht="17.399999999999999" customHeight="1" x14ac:dyDescent="0.3">
      <c r="A52" s="15" t="s">
        <v>186</v>
      </c>
      <c r="B52" s="15">
        <f>11.8/1000000</f>
        <v>1.1800000000000001E-5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3612A-E8BD-4EC1-A86B-83037D66F361}">
  <sheetPr codeName="Sheet6"/>
  <dimension ref="A1:I110"/>
  <sheetViews>
    <sheetView workbookViewId="0">
      <selection activeCell="H2" sqref="H2"/>
    </sheetView>
  </sheetViews>
  <sheetFormatPr defaultRowHeight="14.4" x14ac:dyDescent="0.3"/>
  <cols>
    <col min="1" max="1" width="17.6640625" bestFit="1" customWidth="1"/>
    <col min="7" max="7" width="24.77734375" bestFit="1" customWidth="1"/>
  </cols>
  <sheetData>
    <row r="1" spans="1:9" x14ac:dyDescent="0.3">
      <c r="A1" t="s">
        <v>141</v>
      </c>
      <c r="H1">
        <f>COUNTIF($I:$I,"?*")</f>
        <v>108</v>
      </c>
    </row>
    <row r="2" spans="1:9" x14ac:dyDescent="0.3">
      <c r="A2" t="s">
        <v>210</v>
      </c>
      <c r="F2">
        <f>IF(ISNUMBER(SEARCH('UI Tenaga Listrik'!$E$7,'List Kota'!G2)),MAX($F$1:F1)+1,0)</f>
        <v>1</v>
      </c>
      <c r="G2" s="2" t="s">
        <v>386</v>
      </c>
      <c r="H2" t="str">
        <f ca="1">OFFSET($I$2,0,0,COUNTIF(I:I,"?*"),1)</f>
        <v>Adonara - NTT</v>
      </c>
      <c r="I2" t="str">
        <f>IFERROR(VLOOKUP(ROWS($I$1:I1),$F$2:$G$109,2,FALSE),"")</f>
        <v>Adonara - NTT</v>
      </c>
    </row>
    <row r="3" spans="1:9" x14ac:dyDescent="0.3">
      <c r="A3" t="s">
        <v>211</v>
      </c>
      <c r="F3">
        <f>IF(ISNUMBER(SEARCH('UI Tenaga Listrik'!$E$7,'List Kota'!G3)),MAX($F$1:F2)+1,0)</f>
        <v>2</v>
      </c>
      <c r="G3" s="2" t="s">
        <v>387</v>
      </c>
      <c r="I3" t="str">
        <f>IFERROR(VLOOKUP(ROWS($I$1:I2),$F$2:$G$110,2,FALSE),"")</f>
        <v>Alor - NTT</v>
      </c>
    </row>
    <row r="4" spans="1:9" x14ac:dyDescent="0.3">
      <c r="A4" t="s">
        <v>145</v>
      </c>
      <c r="F4">
        <f>IF(ISNUMBER(SEARCH('UI Tenaga Listrik'!$E$7,'List Kota'!G4)),MAX($F$1:F3)+1,0)</f>
        <v>3</v>
      </c>
      <c r="G4" s="2" t="s">
        <v>388</v>
      </c>
      <c r="I4" t="str">
        <f>IFERROR(VLOOKUP(ROWS($I$1:I3),$F$2:$G$110,2,FALSE),"")</f>
        <v>Ambon - Maluku</v>
      </c>
    </row>
    <row r="5" spans="1:9" x14ac:dyDescent="0.3">
      <c r="F5">
        <f>IF(ISNUMBER(SEARCH('UI Tenaga Listrik'!$E$7,'List Kota'!G5)),MAX($F$1:F4)+1,0)</f>
        <v>4</v>
      </c>
      <c r="G5" s="2" t="s">
        <v>389</v>
      </c>
      <c r="I5" t="str">
        <f>IFERROR(VLOOKUP(ROWS($I$1:I4),$F$2:$G$110,2,FALSE),"")</f>
        <v>Bangka - Bangka Belitung</v>
      </c>
    </row>
    <row r="6" spans="1:9" x14ac:dyDescent="0.3">
      <c r="A6" t="s">
        <v>142</v>
      </c>
      <c r="F6">
        <f>IF(ISNUMBER(SEARCH('UI Tenaga Listrik'!$E$7,'List Kota'!G6)),MAX($F$1:F5)+1,0)</f>
        <v>5</v>
      </c>
      <c r="G6" s="2" t="s">
        <v>390</v>
      </c>
      <c r="I6" t="str">
        <f>IFERROR(VLOOKUP(ROWS($I$1:I5),$F$2:$G$110,2,FALSE),"")</f>
        <v>Barito - Kalimantan Tengah</v>
      </c>
    </row>
    <row r="7" spans="1:9" x14ac:dyDescent="0.3">
      <c r="A7" t="s">
        <v>144</v>
      </c>
      <c r="F7">
        <f>IF(ISNUMBER(SEARCH('UI Tenaga Listrik'!$E$7,'List Kota'!G7)),MAX($F$1:F6)+1,0)</f>
        <v>6</v>
      </c>
      <c r="G7" s="2" t="s">
        <v>458</v>
      </c>
      <c r="I7" t="str">
        <f>IFERROR(VLOOKUP(ROWS($I$1:I6),$F$2:$G$110,2,FALSE),"")</f>
        <v>Batam - Kep. Riau</v>
      </c>
    </row>
    <row r="8" spans="1:9" x14ac:dyDescent="0.3">
      <c r="A8" t="s">
        <v>143</v>
      </c>
      <c r="F8">
        <f>IF(ISNUMBER(SEARCH('UI Tenaga Listrik'!$E$7,'List Kota'!G8)),MAX($F$1:F7)+1,0)</f>
        <v>7</v>
      </c>
      <c r="G8" s="2" t="s">
        <v>391</v>
      </c>
      <c r="I8" t="str">
        <f>IFERROR(VLOOKUP(ROWS($I$1:I7),$F$2:$G$110,2,FALSE),"")</f>
        <v>Bau-Bau - Sulawesi Tenggara</v>
      </c>
    </row>
    <row r="9" spans="1:9" x14ac:dyDescent="0.3">
      <c r="F9">
        <f>IF(ISNUMBER(SEARCH('UI Tenaga Listrik'!$E$7,'List Kota'!G9)),MAX($F$1:F8)+1,0)</f>
        <v>8</v>
      </c>
      <c r="G9" s="2" t="s">
        <v>392</v>
      </c>
      <c r="I9" t="str">
        <f>IFERROR(VLOOKUP(ROWS($I$1:I8),$F$2:$G$110,2,FALSE),"")</f>
        <v>Belitung - Bangka Belitung</v>
      </c>
    </row>
    <row r="10" spans="1:9" x14ac:dyDescent="0.3">
      <c r="A10" t="s">
        <v>206</v>
      </c>
      <c r="F10">
        <f>IF(ISNUMBER(SEARCH('UI Tenaga Listrik'!$E$7,'List Kota'!G10)),MAX($F$1:F9)+1,0)</f>
        <v>9</v>
      </c>
      <c r="G10" s="2" t="s">
        <v>393</v>
      </c>
      <c r="I10" t="str">
        <f>IFERROR(VLOOKUP(ROWS($I$1:I9),$F$2:$G$110,2,FALSE),"")</f>
        <v>Bengkalis - Riau</v>
      </c>
    </row>
    <row r="11" spans="1:9" x14ac:dyDescent="0.3">
      <c r="A11" t="s">
        <v>207</v>
      </c>
      <c r="F11">
        <f>IF(ISNUMBER(SEARCH('UI Tenaga Listrik'!$E$7,'List Kota'!G11)),MAX($F$1:F10)+1,0)</f>
        <v>10</v>
      </c>
      <c r="G11" s="2" t="s">
        <v>394</v>
      </c>
      <c r="I11" t="str">
        <f>IFERROR(VLOOKUP(ROWS($I$1:I10),$F$2:$G$110,2,FALSE),"")</f>
        <v>Biak - Papua</v>
      </c>
    </row>
    <row r="12" spans="1:9" x14ac:dyDescent="0.3">
      <c r="F12">
        <f>IF(ISNUMBER(SEARCH('UI Tenaga Listrik'!$E$7,'List Kota'!G12)),MAX($F$1:F11)+1,0)</f>
        <v>11</v>
      </c>
      <c r="G12" s="2" t="s">
        <v>459</v>
      </c>
      <c r="I12" t="str">
        <f>IFERROR(VLOOKUP(ROWS($I$1:I11),$F$2:$G$110,2,FALSE),"")</f>
        <v>Bima - NTB</v>
      </c>
    </row>
    <row r="13" spans="1:9" x14ac:dyDescent="0.3">
      <c r="F13">
        <f>IF(ISNUMBER(SEARCH('UI Tenaga Listrik'!$E$7,'List Kota'!G13)),MAX($F$1:F12)+1,0)</f>
        <v>12</v>
      </c>
      <c r="G13" s="2" t="s">
        <v>395</v>
      </c>
      <c r="I13" t="str">
        <f>IFERROR(VLOOKUP(ROWS($I$1:I12),$F$2:$G$110,2,FALSE),"")</f>
        <v>Bualemo - Sulawesi Tengah</v>
      </c>
    </row>
    <row r="14" spans="1:9" x14ac:dyDescent="0.3">
      <c r="F14">
        <f>IF(ISNUMBER(SEARCH('UI Tenaga Listrik'!$E$7,'List Kota'!G14)),MAX($F$1:F13)+1,0)</f>
        <v>13</v>
      </c>
      <c r="G14" s="2" t="s">
        <v>396</v>
      </c>
      <c r="I14" t="str">
        <f>IFERROR(VLOOKUP(ROWS($I$1:I13),$F$2:$G$110,2,FALSE),"")</f>
        <v>Buano - Maluku</v>
      </c>
    </row>
    <row r="15" spans="1:9" x14ac:dyDescent="0.3">
      <c r="F15">
        <f>IF(ISNUMBER(SEARCH('UI Tenaga Listrik'!$E$7,'List Kota'!G15)),MAX($F$1:F14)+1,0)</f>
        <v>14</v>
      </c>
      <c r="G15" s="2" t="s">
        <v>397</v>
      </c>
      <c r="I15" t="str">
        <f>IFERROR(VLOOKUP(ROWS($I$1:I14),$F$2:$G$110,2,FALSE),"")</f>
        <v>Buli - Maluku Utara</v>
      </c>
    </row>
    <row r="16" spans="1:9" x14ac:dyDescent="0.3">
      <c r="F16">
        <f>IF(ISNUMBER(SEARCH('UI Tenaga Listrik'!$E$7,'List Kota'!G16)),MAX($F$1:F15)+1,0)</f>
        <v>15</v>
      </c>
      <c r="G16" s="2" t="s">
        <v>398</v>
      </c>
      <c r="I16" t="str">
        <f>IFERROR(VLOOKUP(ROWS($I$1:I15),$F$2:$G$110,2,FALSE),"")</f>
        <v>Concong Luar - Riau</v>
      </c>
    </row>
    <row r="17" spans="6:9" x14ac:dyDescent="0.3">
      <c r="F17">
        <f>IF(ISNUMBER(SEARCH('UI Tenaga Listrik'!$E$7,'List Kota'!G17)),MAX($F$1:F16)+1,0)</f>
        <v>16</v>
      </c>
      <c r="G17" s="2" t="s">
        <v>460</v>
      </c>
      <c r="I17" t="str">
        <f>IFERROR(VLOOKUP(ROWS($I$1:I16),$F$2:$G$110,2,FALSE),"")</f>
        <v>Dabo Singkep - Kep.Riau</v>
      </c>
    </row>
    <row r="18" spans="6:9" x14ac:dyDescent="0.3">
      <c r="F18">
        <f>IF(ISNUMBER(SEARCH('UI Tenaga Listrik'!$E$7,'List Kota'!G18)),MAX($F$1:F17)+1,0)</f>
        <v>17</v>
      </c>
      <c r="G18" s="2" t="s">
        <v>399</v>
      </c>
      <c r="I18" t="str">
        <f>IFERROR(VLOOKUP(ROWS($I$1:I17),$F$2:$G$110,2,FALSE),"")</f>
        <v>Daruba - Maluku Utara</v>
      </c>
    </row>
    <row r="19" spans="6:9" x14ac:dyDescent="0.3">
      <c r="F19">
        <f>IF(ISNUMBER(SEARCH('UI Tenaga Listrik'!$E$7,'List Kota'!G19)),MAX($F$1:F18)+1,0)</f>
        <v>18</v>
      </c>
      <c r="G19" s="2" t="s">
        <v>400</v>
      </c>
      <c r="I19" t="str">
        <f>IFERROR(VLOOKUP(ROWS($I$1:I18),$F$2:$G$110,2,FALSE),"")</f>
        <v>Dobo - Maluku</v>
      </c>
    </row>
    <row r="20" spans="6:9" x14ac:dyDescent="0.3">
      <c r="F20">
        <f>IF(ISNUMBER(SEARCH('UI Tenaga Listrik'!$E$7,'List Kota'!G20)),MAX($F$1:F19)+1,0)</f>
        <v>19</v>
      </c>
      <c r="G20" s="2" t="s">
        <v>461</v>
      </c>
      <c r="I20" t="str">
        <f>IFERROR(VLOOKUP(ROWS($I$1:I19),$F$2:$G$110,2,FALSE),"")</f>
        <v>Ende - NTT</v>
      </c>
    </row>
    <row r="21" spans="6:9" x14ac:dyDescent="0.3">
      <c r="F21">
        <f>IF(ISNUMBER(SEARCH('UI Tenaga Listrik'!$E$7,'List Kota'!G21)),MAX($F$1:F20)+1,0)</f>
        <v>20</v>
      </c>
      <c r="G21" s="2" t="s">
        <v>401</v>
      </c>
      <c r="I21" t="str">
        <f>IFERROR(VLOOKUP(ROWS($I$1:I20),$F$2:$G$110,2,FALSE),"")</f>
        <v>Ibu - Maluku Utara</v>
      </c>
    </row>
    <row r="22" spans="6:9" x14ac:dyDescent="0.3">
      <c r="F22">
        <f>IF(ISNUMBER(SEARCH('UI Tenaga Listrik'!$E$7,'List Kota'!G22)),MAX($F$1:F21)+1,0)</f>
        <v>21</v>
      </c>
      <c r="G22" s="2" t="s">
        <v>402</v>
      </c>
      <c r="I22" t="str">
        <f>IFERROR(VLOOKUP(ROWS($I$1:I21),$F$2:$G$110,2,FALSE),"")</f>
        <v>Ipuh - Bengkulu</v>
      </c>
    </row>
    <row r="23" spans="6:9" x14ac:dyDescent="0.3">
      <c r="F23">
        <f>IF(ISNUMBER(SEARCH('UI Tenaga Listrik'!$E$7,'List Kota'!G23)),MAX($F$1:F22)+1,0)</f>
        <v>22</v>
      </c>
      <c r="G23" s="2" t="s">
        <v>87</v>
      </c>
      <c r="I23" t="str">
        <f>IFERROR(VLOOKUP(ROWS($I$1:I22),$F$2:$G$110,2,FALSE),"")</f>
        <v>Banten</v>
      </c>
    </row>
    <row r="24" spans="6:9" x14ac:dyDescent="0.3">
      <c r="F24">
        <f>IF(ISNUMBER(SEARCH('UI Tenaga Listrik'!$E$7,'List Kota'!G24)),MAX($F$1:F23)+1,0)</f>
        <v>23</v>
      </c>
      <c r="G24" s="2" t="s">
        <v>463</v>
      </c>
      <c r="I24" t="str">
        <f>IFERROR(VLOOKUP(ROWS($I$1:I23),$F$2:$G$110,2,FALSE),"")</f>
        <v>DKI Jakarta</v>
      </c>
    </row>
    <row r="25" spans="6:9" x14ac:dyDescent="0.3">
      <c r="F25">
        <f>IF(ISNUMBER(SEARCH('UI Tenaga Listrik'!$E$7,'List Kota'!G25)),MAX($F$1:F24)+1,0)</f>
        <v>24</v>
      </c>
      <c r="G25" s="2" t="s">
        <v>89</v>
      </c>
      <c r="I25" t="str">
        <f>IFERROR(VLOOKUP(ROWS($I$1:I24),$F$2:$G$110,2,FALSE),"")</f>
        <v>Jawa Barat</v>
      </c>
    </row>
    <row r="26" spans="6:9" x14ac:dyDescent="0.3">
      <c r="F26">
        <f>IF(ISNUMBER(SEARCH('UI Tenaga Listrik'!$E$7,'List Kota'!G26)),MAX($F$1:F25)+1,0)</f>
        <v>25</v>
      </c>
      <c r="G26" s="2" t="s">
        <v>90</v>
      </c>
      <c r="I26" t="str">
        <f>IFERROR(VLOOKUP(ROWS($I$1:I25),$F$2:$G$110,2,FALSE),"")</f>
        <v>Jawa Tengah</v>
      </c>
    </row>
    <row r="27" spans="6:9" x14ac:dyDescent="0.3">
      <c r="F27">
        <f>IF(ISNUMBER(SEARCH('UI Tenaga Listrik'!$E$7,'List Kota'!G27)),MAX($F$1:F26)+1,0)</f>
        <v>26</v>
      </c>
      <c r="G27" s="2" t="s">
        <v>462</v>
      </c>
      <c r="I27" t="str">
        <f>IFERROR(VLOOKUP(ROWS($I$1:I26),$F$2:$G$110,2,FALSE),"")</f>
        <v>DI Yogyakarta</v>
      </c>
    </row>
    <row r="28" spans="6:9" x14ac:dyDescent="0.3">
      <c r="F28">
        <f>IF(ISNUMBER(SEARCH('UI Tenaga Listrik'!$E$7,'List Kota'!G28)),MAX($F$1:F27)+1,0)</f>
        <v>27</v>
      </c>
      <c r="G28" s="2" t="s">
        <v>92</v>
      </c>
      <c r="I28" t="str">
        <f>IFERROR(VLOOKUP(ROWS($I$1:I27),$F$2:$G$110,2,FALSE),"")</f>
        <v>Jawa Timur</v>
      </c>
    </row>
    <row r="29" spans="6:9" x14ac:dyDescent="0.3">
      <c r="F29">
        <f>IF(ISNUMBER(SEARCH('UI Tenaga Listrik'!$E$7,'List Kota'!G29)),MAX($F$1:F28)+1,0)</f>
        <v>28</v>
      </c>
      <c r="G29" s="2" t="s">
        <v>403</v>
      </c>
      <c r="I29" t="str">
        <f>IFERROR(VLOOKUP(ROWS($I$1:I28),$F$2:$G$110,2,FALSE),"")</f>
        <v>Jayapura - Papua</v>
      </c>
    </row>
    <row r="30" spans="6:9" x14ac:dyDescent="0.3">
      <c r="F30">
        <f>IF(ISNUMBER(SEARCH('UI Tenaga Listrik'!$E$7,'List Kota'!G30)),MAX($F$1:F29)+1,0)</f>
        <v>29</v>
      </c>
      <c r="G30" s="2" t="s">
        <v>404</v>
      </c>
      <c r="I30" t="str">
        <f>IFERROR(VLOOKUP(ROWS($I$1:I29),$F$2:$G$110,2,FALSE),"")</f>
        <v>Karakelang - Sulawesi Utara</v>
      </c>
    </row>
    <row r="31" spans="6:9" x14ac:dyDescent="0.3">
      <c r="F31">
        <f>IF(ISNUMBER(SEARCH('UI Tenaga Listrik'!$E$7,'List Kota'!G31)),MAX($F$1:F30)+1,0)</f>
        <v>30</v>
      </c>
      <c r="G31" s="2" t="s">
        <v>405</v>
      </c>
      <c r="I31" t="str">
        <f>IFERROR(VLOOKUP(ROWS($I$1:I30),$F$2:$G$110,2,FALSE),"")</f>
        <v>Kendari - Sulawesi Tenggara</v>
      </c>
    </row>
    <row r="32" spans="6:9" x14ac:dyDescent="0.3">
      <c r="F32">
        <f>IF(ISNUMBER(SEARCH('UI Tenaga Listrik'!$E$7,'List Kota'!G32)),MAX($F$1:F31)+1,0)</f>
        <v>31</v>
      </c>
      <c r="G32" s="2" t="s">
        <v>406</v>
      </c>
      <c r="I32" t="str">
        <f>IFERROR(VLOOKUP(ROWS($I$1:I31),$F$2:$G$110,2,FALSE),"")</f>
        <v>Kesui - Maluku</v>
      </c>
    </row>
    <row r="33" spans="6:9" x14ac:dyDescent="0.3">
      <c r="F33">
        <f>IF(ISNUMBER(SEARCH('UI Tenaga Listrik'!$E$7,'List Kota'!G33)),MAX($F$1:F32)+1,0)</f>
        <v>32</v>
      </c>
      <c r="G33" s="2" t="s">
        <v>476</v>
      </c>
      <c r="I33" t="str">
        <f>IFERROR(VLOOKUP(ROWS($I$1:I32),$F$2:$G$110,2,FALSE),"")</f>
        <v>Pontianak - KalBar</v>
      </c>
    </row>
    <row r="34" spans="6:9" x14ac:dyDescent="0.3">
      <c r="F34">
        <f>IF(ISNUMBER(SEARCH('UI Tenaga Listrik'!$E$7,'List Kota'!G34)),MAX($F$1:F33)+1,0)</f>
        <v>33</v>
      </c>
      <c r="G34" s="2" t="s">
        <v>407</v>
      </c>
      <c r="I34" t="str">
        <f>IFERROR(VLOOKUP(ROWS($I$1:I33),$F$2:$G$110,2,FALSE),"")</f>
        <v>Kian Darat - Maluku</v>
      </c>
    </row>
    <row r="35" spans="6:9" x14ac:dyDescent="0.3">
      <c r="F35">
        <f>IF(ISNUMBER(SEARCH('UI Tenaga Listrik'!$E$7,'List Kota'!G35)),MAX($F$1:F34)+1,0)</f>
        <v>34</v>
      </c>
      <c r="G35" s="2" t="s">
        <v>408</v>
      </c>
      <c r="I35" t="str">
        <f>IFERROR(VLOOKUP(ROWS($I$1:I34),$F$2:$G$110,2,FALSE),"")</f>
        <v>Kisar - Maluku</v>
      </c>
    </row>
    <row r="36" spans="6:9" x14ac:dyDescent="0.3">
      <c r="F36">
        <f>IF(ISNUMBER(SEARCH('UI Tenaga Listrik'!$E$7,'List Kota'!G36)),MAX($F$1:F35)+1,0)</f>
        <v>35</v>
      </c>
      <c r="G36" s="2" t="s">
        <v>409</v>
      </c>
      <c r="I36" t="str">
        <f>IFERROR(VLOOKUP(ROWS($I$1:I35),$F$2:$G$110,2,FALSE),"")</f>
        <v>Kobisonta - Maluku</v>
      </c>
    </row>
    <row r="37" spans="6:9" x14ac:dyDescent="0.3">
      <c r="F37">
        <f>IF(ISNUMBER(SEARCH('UI Tenaga Listrik'!$E$7,'List Kota'!G37)),MAX($F$1:F36)+1,0)</f>
        <v>36</v>
      </c>
      <c r="G37" s="2" t="s">
        <v>410</v>
      </c>
      <c r="I37" t="str">
        <f>IFERROR(VLOOKUP(ROWS($I$1:I36),$F$2:$G$110,2,FALSE),"")</f>
        <v>Kolaka - Sulawesi Tenggara</v>
      </c>
    </row>
    <row r="38" spans="6:9" x14ac:dyDescent="0.3">
      <c r="F38">
        <f>IF(ISNUMBER(SEARCH('UI Tenaga Listrik'!$E$7,'List Kota'!G38)),MAX($F$1:F37)+1,0)</f>
        <v>37</v>
      </c>
      <c r="G38" s="2" t="s">
        <v>411</v>
      </c>
      <c r="I38" t="str">
        <f>IFERROR(VLOOKUP(ROWS($I$1:I37),$F$2:$G$110,2,FALSE),"")</f>
        <v>Kota Bani - Bengkulu</v>
      </c>
    </row>
    <row r="39" spans="6:9" x14ac:dyDescent="0.3">
      <c r="F39">
        <f>IF(ISNUMBER(SEARCH('UI Tenaga Listrik'!$E$7,'List Kota'!G39)),MAX($F$1:F38)+1,0)</f>
        <v>38</v>
      </c>
      <c r="G39" s="2" t="s">
        <v>412</v>
      </c>
      <c r="I39" t="str">
        <f>IFERROR(VLOOKUP(ROWS($I$1:I38),$F$2:$G$110,2,FALSE),"")</f>
        <v>Kota Lama - Riau</v>
      </c>
    </row>
    <row r="40" spans="6:9" x14ac:dyDescent="0.3">
      <c r="F40">
        <f>IF(ISNUMBER(SEARCH('UI Tenaga Listrik'!$E$7,'List Kota'!G40)),MAX($F$1:F39)+1,0)</f>
        <v>39</v>
      </c>
      <c r="G40" s="2" t="s">
        <v>413</v>
      </c>
      <c r="I40" t="str">
        <f>IFERROR(VLOOKUP(ROWS($I$1:I39),$F$2:$G$110,2,FALSE),"")</f>
        <v>Kotaraya - Sulawesi Tengah</v>
      </c>
    </row>
    <row r="41" spans="6:9" x14ac:dyDescent="0.3">
      <c r="F41">
        <f>IF(ISNUMBER(SEARCH('UI Tenaga Listrik'!$E$7,'List Kota'!G41)),MAX($F$1:F40)+1,0)</f>
        <v>40</v>
      </c>
      <c r="G41" s="2" t="s">
        <v>464</v>
      </c>
      <c r="I41" t="str">
        <f>IFERROR(VLOOKUP(ROWS($I$1:I40),$F$2:$G$110,2,FALSE),"")</f>
        <v>Ladan - Kep. Riau</v>
      </c>
    </row>
    <row r="42" spans="6:9" x14ac:dyDescent="0.3">
      <c r="F42">
        <f>IF(ISNUMBER(SEARCH('UI Tenaga Listrik'!$E$7,'List Kota'!G42)),MAX($F$1:F41)+1,0)</f>
        <v>41</v>
      </c>
      <c r="G42" s="2" t="s">
        <v>414</v>
      </c>
      <c r="I42" t="str">
        <f>IFERROR(VLOOKUP(ROWS($I$1:I41),$F$2:$G$110,2,FALSE),"")</f>
        <v>Laimu - Maluku</v>
      </c>
    </row>
    <row r="43" spans="6:9" x14ac:dyDescent="0.3">
      <c r="F43">
        <f>IF(ISNUMBER(SEARCH('UI Tenaga Listrik'!$E$7,'List Kota'!G43)),MAX($F$1:F42)+1,0)</f>
        <v>42</v>
      </c>
      <c r="G43" s="2" t="s">
        <v>415</v>
      </c>
      <c r="I43" t="str">
        <f>IFERROR(VLOOKUP(ROWS($I$1:I42),$F$2:$G$110,2,FALSE),"")</f>
        <v>Lambuya - Sulawesi Tenggara</v>
      </c>
    </row>
    <row r="44" spans="6:9" x14ac:dyDescent="0.3">
      <c r="F44">
        <f>IF(ISNUMBER(SEARCH('UI Tenaga Listrik'!$E$7,'List Kota'!G44)),MAX($F$1:F43)+1,0)</f>
        <v>43</v>
      </c>
      <c r="G44" s="2" t="s">
        <v>416</v>
      </c>
      <c r="I44" t="str">
        <f>IFERROR(VLOOKUP(ROWS($I$1:I43),$F$2:$G$110,2,FALSE),"")</f>
        <v>Lelang - Sulawesi Tengah</v>
      </c>
    </row>
    <row r="45" spans="6:9" x14ac:dyDescent="0.3">
      <c r="F45">
        <f>IF(ISNUMBER(SEARCH('UI Tenaga Listrik'!$E$7,'List Kota'!G45)),MAX($F$1:F44)+1,0)</f>
        <v>44</v>
      </c>
      <c r="G45" s="2" t="s">
        <v>417</v>
      </c>
      <c r="I45" t="str">
        <f>IFERROR(VLOOKUP(ROWS($I$1:I44),$F$2:$G$110,2,FALSE),"")</f>
        <v>Lemang - Riau</v>
      </c>
    </row>
    <row r="46" spans="6:9" x14ac:dyDescent="0.3">
      <c r="F46">
        <f>IF(ISNUMBER(SEARCH('UI Tenaga Listrik'!$E$7,'List Kota'!G46)),MAX($F$1:F45)+1,0)</f>
        <v>45</v>
      </c>
      <c r="G46" s="2" t="s">
        <v>418</v>
      </c>
      <c r="I46" t="str">
        <f>IFERROR(VLOOKUP(ROWS($I$1:I45),$F$2:$G$110,2,FALSE),"")</f>
        <v>Letung - Kepulauan Riau</v>
      </c>
    </row>
    <row r="47" spans="6:9" x14ac:dyDescent="0.3">
      <c r="F47">
        <f>IF(ISNUMBER(SEARCH('UI Tenaga Listrik'!$E$7,'List Kota'!G47)),MAX($F$1:F46)+1,0)</f>
        <v>46</v>
      </c>
      <c r="G47" s="2" t="s">
        <v>419</v>
      </c>
      <c r="I47" t="str">
        <f>IFERROR(VLOOKUP(ROWS($I$1:I46),$F$2:$G$110,2,FALSE),"")</f>
        <v>Lirung - Sulawesi Utara</v>
      </c>
    </row>
    <row r="48" spans="6:9" x14ac:dyDescent="0.3">
      <c r="F48">
        <f>IF(ISNUMBER(SEARCH('UI Tenaga Listrik'!$E$7,'List Kota'!G48)),MAX($F$1:F47)+1,0)</f>
        <v>47</v>
      </c>
      <c r="G48" s="2" t="s">
        <v>465</v>
      </c>
      <c r="I48" t="str">
        <f>IFERROR(VLOOKUP(ROWS($I$1:I47),$F$2:$G$110,2,FALSE),"")</f>
        <v>Lombok - NTB</v>
      </c>
    </row>
    <row r="49" spans="6:9" x14ac:dyDescent="0.3">
      <c r="F49">
        <f>IF(ISNUMBER(SEARCH('UI Tenaga Listrik'!$E$7,'List Kota'!G49)),MAX($F$1:F48)+1,0)</f>
        <v>48</v>
      </c>
      <c r="G49" s="2" t="s">
        <v>475</v>
      </c>
      <c r="I49" t="str">
        <f>IFERROR(VLOOKUP(ROWS($I$1:I48),$F$2:$G$110,2,FALSE),"")</f>
        <v>Lumbi-lumbia - SulTeng</v>
      </c>
    </row>
    <row r="50" spans="6:9" x14ac:dyDescent="0.3">
      <c r="F50">
        <f>IF(ISNUMBER(SEARCH('UI Tenaga Listrik'!$E$7,'List Kota'!G50)),MAX($F$1:F49)+1,0)</f>
        <v>49</v>
      </c>
      <c r="G50" s="2" t="s">
        <v>420</v>
      </c>
      <c r="I50" t="str">
        <f>IFERROR(VLOOKUP(ROWS($I$1:I49),$F$2:$G$110,2,FALSE),"")</f>
        <v>Luwuk - Sulawesi Tengah</v>
      </c>
    </row>
    <row r="51" spans="6:9" x14ac:dyDescent="0.3">
      <c r="F51">
        <f>IF(ISNUMBER(SEARCH('UI Tenaga Listrik'!$E$7,'List Kota'!G51)),MAX($F$1:F50)+1,0)</f>
        <v>50</v>
      </c>
      <c r="G51" s="2" t="s">
        <v>421</v>
      </c>
      <c r="I51" t="str">
        <f>IFERROR(VLOOKUP(ROWS($I$1:I50),$F$2:$G$110,2,FALSE),"")</f>
        <v>Mahakam - Kalimantan Timur</v>
      </c>
    </row>
    <row r="52" spans="6:9" x14ac:dyDescent="0.3">
      <c r="F52">
        <f>IF(ISNUMBER(SEARCH('UI Tenaga Listrik'!$E$7,'List Kota'!G52)),MAX($F$1:F51)+1,0)</f>
        <v>51</v>
      </c>
      <c r="G52" s="2" t="s">
        <v>422</v>
      </c>
      <c r="I52" t="str">
        <f>IFERROR(VLOOKUP(ROWS($I$1:I51),$F$2:$G$110,2,FALSE),"")</f>
        <v>Mangaran - Sulawesi Utara</v>
      </c>
    </row>
    <row r="53" spans="6:9" x14ac:dyDescent="0.3">
      <c r="F53">
        <f>IF(ISNUMBER(SEARCH('UI Tenaga Listrik'!$E$7,'List Kota'!G53)),MAX($F$1:F52)+1,0)</f>
        <v>52</v>
      </c>
      <c r="G53" s="2" t="s">
        <v>423</v>
      </c>
      <c r="I53" t="str">
        <f>IFERROR(VLOOKUP(ROWS($I$1:I52),$F$2:$G$110,2,FALSE),"")</f>
        <v>Manokwari - Papua Barat</v>
      </c>
    </row>
    <row r="54" spans="6:9" x14ac:dyDescent="0.3">
      <c r="F54">
        <f>IF(ISNUMBER(SEARCH('UI Tenaga Listrik'!$E$7,'List Kota'!G54)),MAX($F$1:F53)+1,0)</f>
        <v>53</v>
      </c>
      <c r="G54" s="2" t="s">
        <v>466</v>
      </c>
      <c r="I54" t="str">
        <f>IFERROR(VLOOKUP(ROWS($I$1:I53),$F$2:$G$110,2,FALSE),"")</f>
        <v>Maumere - NTT</v>
      </c>
    </row>
    <row r="55" spans="6:9" x14ac:dyDescent="0.3">
      <c r="F55">
        <f>IF(ISNUMBER(SEARCH('UI Tenaga Listrik'!$E$7,'List Kota'!G55)),MAX($F$1:F54)+1,0)</f>
        <v>54</v>
      </c>
      <c r="G55" s="2" t="s">
        <v>424</v>
      </c>
      <c r="I55" t="str">
        <f>IFERROR(VLOOKUP(ROWS($I$1:I54),$F$2:$G$110,2,FALSE),"")</f>
        <v>Merauke - Papua</v>
      </c>
    </row>
    <row r="56" spans="6:9" x14ac:dyDescent="0.3">
      <c r="F56">
        <f>IF(ISNUMBER(SEARCH('UI Tenaga Listrik'!$E$7,'List Kota'!G56)),MAX($F$1:F55)+1,0)</f>
        <v>55</v>
      </c>
      <c r="G56" s="2" t="s">
        <v>425</v>
      </c>
      <c r="I56" t="str">
        <f>IFERROR(VLOOKUP(ROWS($I$1:I55),$F$2:$G$110,2,FALSE),"")</f>
        <v>Moa - Maluku</v>
      </c>
    </row>
    <row r="57" spans="6:9" x14ac:dyDescent="0.3">
      <c r="F57">
        <f>IF(ISNUMBER(SEARCH('UI Tenaga Listrik'!$E$7,'List Kota'!G57)),MAX($F$1:F56)+1,0)</f>
        <v>56</v>
      </c>
      <c r="G57" s="2" t="s">
        <v>426</v>
      </c>
      <c r="I57" t="str">
        <f>IFERROR(VLOOKUP(ROWS($I$1:I56),$F$2:$G$110,2,FALSE),"")</f>
        <v>Nabire - Papua</v>
      </c>
    </row>
    <row r="58" spans="6:9" x14ac:dyDescent="0.3">
      <c r="F58">
        <f>IF(ISNUMBER(SEARCH('UI Tenaga Listrik'!$E$7,'List Kota'!G58)),MAX($F$1:F57)+1,0)</f>
        <v>57</v>
      </c>
      <c r="G58" s="2" t="s">
        <v>427</v>
      </c>
      <c r="I58" t="str">
        <f>IFERROR(VLOOKUP(ROWS($I$1:I57),$F$2:$G$110,2,FALSE),"")</f>
        <v>Namlea - Maluku</v>
      </c>
    </row>
    <row r="59" spans="6:9" x14ac:dyDescent="0.3">
      <c r="F59">
        <f>IF(ISNUMBER(SEARCH('UI Tenaga Listrik'!$E$7,'List Kota'!G59)),MAX($F$1:F58)+1,0)</f>
        <v>58</v>
      </c>
      <c r="G59" s="2" t="s">
        <v>428</v>
      </c>
      <c r="I59" t="str">
        <f>IFERROR(VLOOKUP(ROWS($I$1:I58),$F$2:$G$110,2,FALSE),"")</f>
        <v>Nias - Sumatera Utara</v>
      </c>
    </row>
    <row r="60" spans="6:9" x14ac:dyDescent="0.3">
      <c r="F60">
        <f>IF(ISNUMBER(SEARCH('UI Tenaga Listrik'!$E$7,'List Kota'!G60)),MAX($F$1:F59)+1,0)</f>
        <v>59</v>
      </c>
      <c r="G60" s="2" t="s">
        <v>468</v>
      </c>
      <c r="I60" t="str">
        <f>IFERROR(VLOOKUP(ROWS($I$1:I59),$F$2:$G$110,2,FALSE),"")</f>
        <v>Pagai Selatan - Sum. Barat</v>
      </c>
    </row>
    <row r="61" spans="6:9" x14ac:dyDescent="0.3">
      <c r="F61">
        <f>IF(ISNUMBER(SEARCH('UI Tenaga Listrik'!$E$7,'List Kota'!G61)),MAX($F$1:F60)+1,0)</f>
        <v>60</v>
      </c>
      <c r="G61" s="2" t="s">
        <v>467</v>
      </c>
      <c r="I61" t="str">
        <f>IFERROR(VLOOKUP(ROWS($I$1:I60),$F$2:$G$110,2,FALSE),"")</f>
        <v>Palu - Sulawesi Tengah</v>
      </c>
    </row>
    <row r="62" spans="6:9" x14ac:dyDescent="0.3">
      <c r="F62">
        <f>IF(ISNUMBER(SEARCH('UI Tenaga Listrik'!$E$7,'List Kota'!G62)),MAX($F$1:F61)+1,0)</f>
        <v>61</v>
      </c>
      <c r="G62" s="2" t="s">
        <v>429</v>
      </c>
      <c r="I62" t="str">
        <f>IFERROR(VLOOKUP(ROWS($I$1:I61),$F$2:$G$110,2,FALSE),"")</f>
        <v>Pulau Buru - Maluku</v>
      </c>
    </row>
    <row r="63" spans="6:9" x14ac:dyDescent="0.3">
      <c r="F63">
        <f>IF(ISNUMBER(SEARCH('UI Tenaga Listrik'!$E$7,'List Kota'!G63)),MAX($F$1:F62)+1,0)</f>
        <v>62</v>
      </c>
      <c r="G63" s="2" t="s">
        <v>430</v>
      </c>
      <c r="I63" t="str">
        <f>IFERROR(VLOOKUP(ROWS($I$1:I62),$F$2:$G$110,2,FALSE),"")</f>
        <v>Pulau Halang - Riau</v>
      </c>
    </row>
    <row r="64" spans="6:9" x14ac:dyDescent="0.3">
      <c r="F64">
        <f>IF(ISNUMBER(SEARCH('UI Tenaga Listrik'!$E$7,'List Kota'!G64)),MAX($F$1:F63)+1,0)</f>
        <v>63</v>
      </c>
      <c r="G64" s="2" t="s">
        <v>474</v>
      </c>
      <c r="I64" t="str">
        <f>IFERROR(VLOOKUP(ROWS($I$1:I63),$F$2:$G$110,2,FALSE),"")</f>
        <v>Pulau Tello - SulSel</v>
      </c>
    </row>
    <row r="65" spans="6:9" x14ac:dyDescent="0.3">
      <c r="F65">
        <f>IF(ISNUMBER(SEARCH('UI Tenaga Listrik'!$E$7,'List Kota'!G65)),MAX($F$1:F64)+1,0)</f>
        <v>64</v>
      </c>
      <c r="G65" s="2" t="s">
        <v>431</v>
      </c>
      <c r="I65" t="str">
        <f>IFERROR(VLOOKUP(ROWS($I$1:I64),$F$2:$G$110,2,FALSE),"")</f>
        <v>Raha - Sulawesi Tenggara</v>
      </c>
    </row>
    <row r="66" spans="6:9" x14ac:dyDescent="0.3">
      <c r="F66">
        <f>IF(ISNUMBER(SEARCH('UI Tenaga Listrik'!$E$7,'List Kota'!G66)),MAX($F$1:F65)+1,0)</f>
        <v>65</v>
      </c>
      <c r="G66" s="2" t="s">
        <v>432</v>
      </c>
      <c r="I66" t="str">
        <f>IFERROR(VLOOKUP(ROWS($I$1:I65),$F$2:$G$110,2,FALSE),"")</f>
        <v>Ranai - Kepulauan Riau</v>
      </c>
    </row>
    <row r="67" spans="6:9" x14ac:dyDescent="0.3">
      <c r="F67">
        <f>IF(ISNUMBER(SEARCH('UI Tenaga Listrik'!$E$7,'List Kota'!G67)),MAX($F$1:F66)+1,0)</f>
        <v>66</v>
      </c>
      <c r="G67" s="2" t="s">
        <v>433</v>
      </c>
      <c r="I67" t="str">
        <f>IFERROR(VLOOKUP(ROWS($I$1:I66),$F$2:$G$110,2,FALSE),"")</f>
        <v>S Nasik - Bangka Belitung</v>
      </c>
    </row>
    <row r="68" spans="6:9" x14ac:dyDescent="0.3">
      <c r="F68">
        <f>IF(ISNUMBER(SEARCH('UI Tenaga Listrik'!$E$7,'List Kota'!G68)),MAX($F$1:F67)+1,0)</f>
        <v>67</v>
      </c>
      <c r="G68" s="2" t="s">
        <v>434</v>
      </c>
      <c r="I68" t="str">
        <f>IFERROR(VLOOKUP(ROWS($I$1:I67),$F$2:$G$110,2,FALSE),"")</f>
        <v>Saumlaki - Maluku</v>
      </c>
    </row>
    <row r="69" spans="6:9" x14ac:dyDescent="0.3">
      <c r="F69">
        <f>IF(ISNUMBER(SEARCH('UI Tenaga Listrik'!$E$7,'List Kota'!G69)),MAX($F$1:F68)+1,0)</f>
        <v>68</v>
      </c>
      <c r="G69" s="2" t="s">
        <v>435</v>
      </c>
      <c r="I69" t="str">
        <f>IFERROR(VLOOKUP(ROWS($I$1:I68),$F$2:$G$110,2,FALSE),"")</f>
        <v>Selat Panjang - Riau</v>
      </c>
    </row>
    <row r="70" spans="6:9" x14ac:dyDescent="0.3">
      <c r="F70">
        <f>IF(ISNUMBER(SEARCH('UI Tenaga Listrik'!$E$7,'List Kota'!G70)),MAX($F$1:F69)+1,0)</f>
        <v>69</v>
      </c>
      <c r="G70" s="2" t="s">
        <v>436</v>
      </c>
      <c r="I70" t="str">
        <f>IFERROR(VLOOKUP(ROWS($I$1:I69),$F$2:$G$110,2,FALSE),"")</f>
        <v>Serui - Papua</v>
      </c>
    </row>
    <row r="71" spans="6:9" x14ac:dyDescent="0.3">
      <c r="F71">
        <f>IF(ISNUMBER(SEARCH('UI Tenaga Listrik'!$E$7,'List Kota'!G71)),MAX($F$1:F70)+1,0)</f>
        <v>70</v>
      </c>
      <c r="G71" s="2" t="s">
        <v>437</v>
      </c>
      <c r="I71" t="str">
        <f>IFERROR(VLOOKUP(ROWS($I$1:I70),$F$2:$G$110,2,FALSE),"")</f>
        <v>Siberut - Sumatera Barat</v>
      </c>
    </row>
    <row r="72" spans="6:9" x14ac:dyDescent="0.3">
      <c r="F72">
        <f>IF(ISNUMBER(SEARCH('UI Tenaga Listrik'!$E$7,'List Kota'!G72)),MAX($F$1:F71)+1,0)</f>
        <v>71</v>
      </c>
      <c r="G72" s="2" t="s">
        <v>473</v>
      </c>
      <c r="I72" t="str">
        <f>IFERROR(VLOOKUP(ROWS($I$1:I71),$F$2:$G$110,2,FALSE),"")</f>
        <v>Siberut Utara - Sum. Barat</v>
      </c>
    </row>
    <row r="73" spans="6:9" x14ac:dyDescent="0.3">
      <c r="F73">
        <f>IF(ISNUMBER(SEARCH('UI Tenaga Listrik'!$E$7,'List Kota'!G73)),MAX($F$1:F72)+1,0)</f>
        <v>72</v>
      </c>
      <c r="G73" s="2" t="s">
        <v>438</v>
      </c>
      <c r="I73" t="str">
        <f>IFERROR(VLOOKUP(ROWS($I$1:I72),$F$2:$G$110,2,FALSE),"")</f>
        <v>Sipora - Sumatera Barat</v>
      </c>
    </row>
    <row r="74" spans="6:9" x14ac:dyDescent="0.3">
      <c r="F74">
        <f>IF(ISNUMBER(SEARCH('UI Tenaga Listrik'!$E$7,'List Kota'!G74)),MAX($F$1:F73)+1,0)</f>
        <v>73</v>
      </c>
      <c r="G74" s="2" t="s">
        <v>439</v>
      </c>
      <c r="I74" t="str">
        <f>IFERROR(VLOOKUP(ROWS($I$1:I73),$F$2:$G$110,2,FALSE),"")</f>
        <v>Sorong - Papua Barat</v>
      </c>
    </row>
    <row r="75" spans="6:9" x14ac:dyDescent="0.3">
      <c r="F75">
        <f>IF(ISNUMBER(SEARCH('UI Tenaga Listrik'!$E$7,'List Kota'!G75)),MAX($F$1:F74)+1,0)</f>
        <v>74</v>
      </c>
      <c r="G75" s="2" t="s">
        <v>119</v>
      </c>
      <c r="I75" t="str">
        <f>IFERROR(VLOOKUP(ROWS($I$1:I74),$F$2:$G$110,2,FALSE),"")</f>
        <v>Sulawesi Selatan</v>
      </c>
    </row>
    <row r="76" spans="6:9" x14ac:dyDescent="0.3">
      <c r="F76">
        <f>IF(ISNUMBER(SEARCH('UI Tenaga Listrik'!$E$7,'List Kota'!G76)),MAX($F$1:F75)+1,0)</f>
        <v>75</v>
      </c>
      <c r="G76" s="2" t="s">
        <v>124</v>
      </c>
      <c r="I76" t="str">
        <f>IFERROR(VLOOKUP(ROWS($I$1:I75),$F$2:$G$110,2,FALSE),"")</f>
        <v>Sulawesi Barat</v>
      </c>
    </row>
    <row r="77" spans="6:9" x14ac:dyDescent="0.3">
      <c r="F77">
        <f>IF(ISNUMBER(SEARCH('UI Tenaga Listrik'!$E$7,'List Kota'!G77)),MAX($F$1:F76)+1,0)</f>
        <v>76</v>
      </c>
      <c r="G77" s="2" t="s">
        <v>45</v>
      </c>
      <c r="I77" t="str">
        <f>IFERROR(VLOOKUP(ROWS($I$1:I76),$F$2:$G$110,2,FALSE),"")</f>
        <v>Sulawesi Utara</v>
      </c>
    </row>
    <row r="78" spans="6:9" x14ac:dyDescent="0.3">
      <c r="F78">
        <f>IF(ISNUMBER(SEARCH('UI Tenaga Listrik'!$E$7,'List Kota'!G78)),MAX($F$1:F77)+1,0)</f>
        <v>77</v>
      </c>
      <c r="G78" s="2" t="s">
        <v>125</v>
      </c>
      <c r="I78" t="str">
        <f>IFERROR(VLOOKUP(ROWS($I$1:I77),$F$2:$G$110,2,FALSE),"")</f>
        <v>Gorontalo</v>
      </c>
    </row>
    <row r="79" spans="6:9" x14ac:dyDescent="0.3">
      <c r="F79">
        <f>IF(ISNUMBER(SEARCH('UI Tenaga Listrik'!$E$7,'List Kota'!G79)),MAX($F$1:F78)+1,0)</f>
        <v>78</v>
      </c>
      <c r="G79" s="2" t="s">
        <v>126</v>
      </c>
      <c r="I79" t="str">
        <f>IFERROR(VLOOKUP(ROWS($I$1:I78),$F$2:$G$110,2,FALSE),"")</f>
        <v>Aceh</v>
      </c>
    </row>
    <row r="80" spans="6:9" x14ac:dyDescent="0.3">
      <c r="F80">
        <f>IF(ISNUMBER(SEARCH('UI Tenaga Listrik'!$E$7,'List Kota'!G80)),MAX($F$1:F79)+1,0)</f>
        <v>79</v>
      </c>
      <c r="G80" s="2" t="s">
        <v>40</v>
      </c>
      <c r="I80" t="str">
        <f>IFERROR(VLOOKUP(ROWS($I$1:I79),$F$2:$G$110,2,FALSE),"")</f>
        <v>Bengkulu</v>
      </c>
    </row>
    <row r="81" spans="6:9" x14ac:dyDescent="0.3">
      <c r="F81">
        <f>IF(ISNUMBER(SEARCH('UI Tenaga Listrik'!$E$7,'List Kota'!G81)),MAX($F$1:F80)+1,0)</f>
        <v>80</v>
      </c>
      <c r="G81" s="2" t="s">
        <v>127</v>
      </c>
      <c r="I81" t="str">
        <f>IFERROR(VLOOKUP(ROWS($I$1:I80),$F$2:$G$110,2,FALSE),"")</f>
        <v>Jambi</v>
      </c>
    </row>
    <row r="82" spans="6:9" x14ac:dyDescent="0.3">
      <c r="F82">
        <f>IF(ISNUMBER(SEARCH('UI Tenaga Listrik'!$E$7,'List Kota'!G82)),MAX($F$1:F81)+1,0)</f>
        <v>81</v>
      </c>
      <c r="G82" s="2" t="s">
        <v>128</v>
      </c>
      <c r="I82" t="str">
        <f>IFERROR(VLOOKUP(ROWS($I$1:I81),$F$2:$G$110,2,FALSE),"")</f>
        <v>Lampung</v>
      </c>
    </row>
    <row r="83" spans="6:9" x14ac:dyDescent="0.3">
      <c r="F83">
        <f>IF(ISNUMBER(SEARCH('UI Tenaga Listrik'!$E$7,'List Kota'!G83)),MAX($F$1:F82)+1,0)</f>
        <v>82</v>
      </c>
      <c r="G83" s="2" t="s">
        <v>42</v>
      </c>
      <c r="I83" t="str">
        <f>IFERROR(VLOOKUP(ROWS($I$1:I82),$F$2:$G$110,2,FALSE),"")</f>
        <v>Riau</v>
      </c>
    </row>
    <row r="84" spans="6:9" x14ac:dyDescent="0.3">
      <c r="F84">
        <f>IF(ISNUMBER(SEARCH('UI Tenaga Listrik'!$E$7,'List Kota'!G84)),MAX($F$1:F83)+1,0)</f>
        <v>83</v>
      </c>
      <c r="G84" s="2" t="s">
        <v>118</v>
      </c>
      <c r="I84" t="str">
        <f>IFERROR(VLOOKUP(ROWS($I$1:I83),$F$2:$G$110,2,FALSE),"")</f>
        <v>Sumatera Barat</v>
      </c>
    </row>
    <row r="85" spans="6:9" x14ac:dyDescent="0.3">
      <c r="F85">
        <f>IF(ISNUMBER(SEARCH('UI Tenaga Listrik'!$E$7,'List Kota'!G85)),MAX($F$1:F84)+1,0)</f>
        <v>84</v>
      </c>
      <c r="G85" s="2" t="s">
        <v>129</v>
      </c>
      <c r="I85" t="str">
        <f>IFERROR(VLOOKUP(ROWS($I$1:I84),$F$2:$G$110,2,FALSE),"")</f>
        <v>Sumatera Selatan</v>
      </c>
    </row>
    <row r="86" spans="6:9" x14ac:dyDescent="0.3">
      <c r="F86">
        <f>IF(ISNUMBER(SEARCH('UI Tenaga Listrik'!$E$7,'List Kota'!G86)),MAX($F$1:F85)+1,0)</f>
        <v>85</v>
      </c>
      <c r="G86" s="2" t="s">
        <v>117</v>
      </c>
      <c r="I86" t="str">
        <f>IFERROR(VLOOKUP(ROWS($I$1:I85),$F$2:$G$110,2,FALSE),"")</f>
        <v>Sumatera Utara</v>
      </c>
    </row>
    <row r="87" spans="6:9" x14ac:dyDescent="0.3">
      <c r="F87">
        <f>IF(ISNUMBER(SEARCH('UI Tenaga Listrik'!$E$7,'List Kota'!G87)),MAX($F$1:F86)+1,0)</f>
        <v>86</v>
      </c>
      <c r="G87" s="2" t="s">
        <v>440</v>
      </c>
      <c r="I87" t="str">
        <f>IFERROR(VLOOKUP(ROWS($I$1:I86),$F$2:$G$110,2,FALSE),"")</f>
        <v>Sumbawa - NTB</v>
      </c>
    </row>
    <row r="88" spans="6:9" x14ac:dyDescent="0.3">
      <c r="F88">
        <f>IF(ISNUMBER(SEARCH('UI Tenaga Listrik'!$E$7,'List Kota'!G88)),MAX($F$1:F87)+1,0)</f>
        <v>87</v>
      </c>
      <c r="G88" s="2" t="s">
        <v>472</v>
      </c>
      <c r="I88" t="str">
        <f>IFERROR(VLOOKUP(ROWS($I$1:I87),$F$2:$G$110,2,FALSE),"")</f>
        <v>Tagulandang - SulUt</v>
      </c>
    </row>
    <row r="89" spans="6:9" x14ac:dyDescent="0.3">
      <c r="F89">
        <f>IF(ISNUMBER(SEARCH('UI Tenaga Listrik'!$E$7,'List Kota'!G89)),MAX($F$1:F88)+1,0)</f>
        <v>88</v>
      </c>
      <c r="G89" s="2" t="s">
        <v>441</v>
      </c>
      <c r="I89" t="str">
        <f>IFERROR(VLOOKUP(ROWS($I$1:I88),$F$2:$G$110,2,FALSE),"")</f>
        <v>Tahuna - Sulawesi Utara</v>
      </c>
    </row>
    <row r="90" spans="6:9" x14ac:dyDescent="0.3">
      <c r="F90">
        <f>IF(ISNUMBER(SEARCH('UI Tenaga Listrik'!$E$7,'List Kota'!G90)),MAX($F$1:F89)+1,0)</f>
        <v>89</v>
      </c>
      <c r="G90" s="2" t="s">
        <v>442</v>
      </c>
      <c r="I90" t="str">
        <f>IFERROR(VLOOKUP(ROWS($I$1:I89),$F$2:$G$110,2,FALSE),"")</f>
        <v>Tambelan - Kepulauan Riau</v>
      </c>
    </row>
    <row r="91" spans="6:9" x14ac:dyDescent="0.3">
      <c r="F91">
        <f>IF(ISNUMBER(SEARCH('UI Tenaga Listrik'!$E$7,'List Kota'!G91)),MAX($F$1:F90)+1,0)</f>
        <v>90</v>
      </c>
      <c r="G91" s="2" t="s">
        <v>443</v>
      </c>
      <c r="I91" t="str">
        <f>IFERROR(VLOOKUP(ROWS($I$1:I90),$F$2:$G$110,2,FALSE),"")</f>
        <v>Taniwel - Maluku</v>
      </c>
    </row>
    <row r="92" spans="6:9" x14ac:dyDescent="0.3">
      <c r="F92">
        <f>IF(ISNUMBER(SEARCH('UI Tenaga Listrik'!$E$7,'List Kota'!G92)),MAX($F$1:F91)+1,0)</f>
        <v>91</v>
      </c>
      <c r="G92" s="2" t="s">
        <v>123</v>
      </c>
      <c r="I92" t="str">
        <f>IFERROR(VLOOKUP(ROWS($I$1:I91),$F$2:$G$110,2,FALSE),"")</f>
        <v>Tanjung Balai Karimun</v>
      </c>
    </row>
    <row r="93" spans="6:9" x14ac:dyDescent="0.3">
      <c r="F93">
        <f>IF(ISNUMBER(SEARCH('UI Tenaga Listrik'!$E$7,'List Kota'!G93)),MAX($F$1:F92)+1,0)</f>
        <v>92</v>
      </c>
      <c r="G93" s="2" t="s">
        <v>469</v>
      </c>
      <c r="I93" t="str">
        <f>IFERROR(VLOOKUP(ROWS($I$1:I92),$F$2:$G$110,2,FALSE),"")</f>
        <v>Tanjung Batu - Kep. Riau</v>
      </c>
    </row>
    <row r="94" spans="6:9" x14ac:dyDescent="0.3">
      <c r="F94">
        <f>IF(ISNUMBER(SEARCH('UI Tenaga Listrik'!$E$7,'List Kota'!G94)),MAX($F$1:F93)+1,0)</f>
        <v>93</v>
      </c>
      <c r="G94" s="2" t="s">
        <v>444</v>
      </c>
      <c r="I94" t="str">
        <f>IFERROR(VLOOKUP(ROWS($I$1:I93),$F$2:$G$110,2,FALSE),"")</f>
        <v>Tanjung Samak - Riau</v>
      </c>
    </row>
    <row r="95" spans="6:9" x14ac:dyDescent="0.3">
      <c r="F95">
        <f>IF(ISNUMBER(SEARCH('UI Tenaga Listrik'!$E$7,'List Kota'!G95)),MAX($F$1:F94)+1,0)</f>
        <v>94</v>
      </c>
      <c r="G95" s="2" t="s">
        <v>445</v>
      </c>
      <c r="I95" t="str">
        <f>IFERROR(VLOOKUP(ROWS($I$1:I94),$F$2:$G$110,2,FALSE),"")</f>
        <v>Tarakan - Kalimantan Utara</v>
      </c>
    </row>
    <row r="96" spans="6:9" x14ac:dyDescent="0.3">
      <c r="F96">
        <f>IF(ISNUMBER(SEARCH('UI Tenaga Listrik'!$E$7,'List Kota'!G96)),MAX($F$1:F95)+1,0)</f>
        <v>95</v>
      </c>
      <c r="G96" s="2" t="s">
        <v>446</v>
      </c>
      <c r="I96" t="str">
        <f>IFERROR(VLOOKUP(ROWS($I$1:I95),$F$2:$G$110,2,FALSE),"")</f>
        <v>Tehoru - Maluku</v>
      </c>
    </row>
    <row r="97" spans="6:9" x14ac:dyDescent="0.3">
      <c r="F97">
        <f>IF(ISNUMBER(SEARCH('UI Tenaga Listrik'!$E$7,'List Kota'!G97)),MAX($F$1:F96)+1,0)</f>
        <v>96</v>
      </c>
      <c r="G97" s="2" t="s">
        <v>447</v>
      </c>
      <c r="I97" t="str">
        <f>IFERROR(VLOOKUP(ROWS($I$1:I96),$F$2:$G$110,2,FALSE),"")</f>
        <v>Teluk Ketapang - Riau</v>
      </c>
    </row>
    <row r="98" spans="6:9" x14ac:dyDescent="0.3">
      <c r="F98">
        <f>IF(ISNUMBER(SEARCH('UI Tenaga Listrik'!$E$7,'List Kota'!G98)),MAX($F$1:F97)+1,0)</f>
        <v>97</v>
      </c>
      <c r="G98" s="2" t="s">
        <v>471</v>
      </c>
      <c r="I98" t="str">
        <f>IFERROR(VLOOKUP(ROWS($I$1:I97),$F$2:$G$110,2,FALSE),"")</f>
        <v>Ternate -Tidore</v>
      </c>
    </row>
    <row r="99" spans="6:9" x14ac:dyDescent="0.3">
      <c r="F99">
        <f>IF(ISNUMBER(SEARCH('UI Tenaga Listrik'!$E$7,'List Kota'!G99)),MAX($F$1:F98)+1,0)</f>
        <v>98</v>
      </c>
      <c r="G99" s="2" t="s">
        <v>448</v>
      </c>
      <c r="I99" t="str">
        <f>IFERROR(VLOOKUP(ROWS($I$1:I98),$F$2:$G$110,2,FALSE),"")</f>
        <v>Timika - Papua</v>
      </c>
    </row>
    <row r="100" spans="6:9" x14ac:dyDescent="0.3">
      <c r="F100">
        <f>IF(ISNUMBER(SEARCH('UI Tenaga Listrik'!$E$7,'List Kota'!G100)),MAX($F$1:F99)+1,0)</f>
        <v>99</v>
      </c>
      <c r="G100" s="2" t="s">
        <v>449</v>
      </c>
      <c r="I100" t="str">
        <f>IFERROR(VLOOKUP(ROWS($I$1:I99),$F$2:$G$110,2,FALSE),"")</f>
        <v>Timor - NTT</v>
      </c>
    </row>
    <row r="101" spans="6:9" x14ac:dyDescent="0.3">
      <c r="F101">
        <f>IF(ISNUMBER(SEARCH('UI Tenaga Listrik'!$E$7,'List Kota'!G101)),MAX($F$1:F100)+1,0)</f>
        <v>100</v>
      </c>
      <c r="G101" s="2" t="s">
        <v>450</v>
      </c>
      <c r="I101" t="str">
        <f>IFERROR(VLOOKUP(ROWS($I$1:I100),$F$2:$G$110,2,FALSE),"")</f>
        <v>Tobelo - Maluku Utara</v>
      </c>
    </row>
    <row r="102" spans="6:9" x14ac:dyDescent="0.3">
      <c r="F102">
        <f>IF(ISNUMBER(SEARCH('UI Tenaga Listrik'!$E$7,'List Kota'!G102)),MAX($F$1:F101)+1,0)</f>
        <v>101</v>
      </c>
      <c r="G102" s="2" t="s">
        <v>451</v>
      </c>
      <c r="I102" t="str">
        <f>IFERROR(VLOOKUP(ROWS($I$1:I101),$F$2:$G$110,2,FALSE),"")</f>
        <v>Toili - Sulawesi Tengah</v>
      </c>
    </row>
    <row r="103" spans="6:9" x14ac:dyDescent="0.3">
      <c r="F103">
        <f>IF(ISNUMBER(SEARCH('UI Tenaga Listrik'!$E$7,'List Kota'!G103)),MAX($F$1:F102)+1,0)</f>
        <v>102</v>
      </c>
      <c r="G103" s="2" t="s">
        <v>452</v>
      </c>
      <c r="I103" t="str">
        <f>IFERROR(VLOOKUP(ROWS($I$1:I102),$F$2:$G$110,2,FALSE),"")</f>
        <v>Toli-Toli - Sulawesi Tengah</v>
      </c>
    </row>
    <row r="104" spans="6:9" x14ac:dyDescent="0.3">
      <c r="F104">
        <f>IF(ISNUMBER(SEARCH('UI Tenaga Listrik'!$E$7,'List Kota'!G104)),MAX($F$1:F103)+1,0)</f>
        <v>103</v>
      </c>
      <c r="G104" s="2" t="s">
        <v>453</v>
      </c>
      <c r="I104" t="str">
        <f>IFERROR(VLOOKUP(ROWS($I$1:I103),$F$2:$G$110,2,FALSE),"")</f>
        <v>Tual - Maluku</v>
      </c>
    </row>
    <row r="105" spans="6:9" x14ac:dyDescent="0.3">
      <c r="F105">
        <f>IF(ISNUMBER(SEARCH('UI Tenaga Listrik'!$E$7,'List Kota'!G105)),MAX($F$1:F104)+1,0)</f>
        <v>104</v>
      </c>
      <c r="G105" s="2" t="s">
        <v>454</v>
      </c>
      <c r="I105" t="str">
        <f>IFERROR(VLOOKUP(ROWS($I$1:I104),$F$2:$G$110,2,FALSE),"")</f>
        <v>Wahai - Maluku</v>
      </c>
    </row>
    <row r="106" spans="6:9" x14ac:dyDescent="0.3">
      <c r="F106">
        <f>IF(ISNUMBER(SEARCH('UI Tenaga Listrik'!$E$7,'List Kota'!G106)),MAX($F$1:F105)+1,0)</f>
        <v>105</v>
      </c>
      <c r="G106" s="2" t="s">
        <v>455</v>
      </c>
      <c r="I106" t="str">
        <f>IFERROR(VLOOKUP(ROWS($I$1:I105),$F$2:$G$110,2,FALSE),"")</f>
        <v>Waingapu - NTT</v>
      </c>
    </row>
    <row r="107" spans="6:9" x14ac:dyDescent="0.3">
      <c r="F107">
        <f>IF(ISNUMBER(SEARCH('UI Tenaga Listrik'!$E$7,'List Kota'!G107)),MAX($F$1:F106)+1,0)</f>
        <v>106</v>
      </c>
      <c r="G107" s="2" t="s">
        <v>456</v>
      </c>
      <c r="I107" t="str">
        <f>IFERROR(VLOOKUP(ROWS($I$1:I106),$F$2:$G$110,2,FALSE),"")</f>
        <v>Wakai - Sulawesi Tengah</v>
      </c>
    </row>
    <row r="108" spans="6:9" x14ac:dyDescent="0.3">
      <c r="F108">
        <f>IF(ISNUMBER(SEARCH('UI Tenaga Listrik'!$E$7,'List Kota'!G108)),MAX($F$1:F107)+1,0)</f>
        <v>107</v>
      </c>
      <c r="G108" s="2" t="s">
        <v>470</v>
      </c>
      <c r="I108" t="str">
        <f>IFERROR(VLOOKUP(ROWS($I$1:I107),$F$2:$G$110,2,FALSE),"")</f>
        <v>Wangi-Wangi - SulTra</v>
      </c>
    </row>
    <row r="109" spans="6:9" x14ac:dyDescent="0.3">
      <c r="F109">
        <f>IF(ISNUMBER(SEARCH('UI Tenaga Listrik'!$E$7,'List Kota'!G109)),MAX($F$1:F108)+1,0)</f>
        <v>108</v>
      </c>
      <c r="G109" s="2" t="s">
        <v>457</v>
      </c>
      <c r="I109" t="str">
        <f>IFERROR(VLOOKUP(ROWS($I$1:I108),$F$2:$G$110,2,FALSE),"")</f>
        <v>Werinama - Maluku</v>
      </c>
    </row>
    <row r="110" spans="6:9" x14ac:dyDescent="0.3">
      <c r="G110" s="2"/>
    </row>
  </sheetData>
  <dataValidations disablePrompts="1" count="1">
    <dataValidation type="list" allowBlank="1" showInputMessage="1" sqref="E1" xr:uid="{0E9323B5-E513-4D2E-963F-FC25C9422A7F}">
      <formula1>ListGrid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F3936-DD31-4A9F-8902-04B387003F71}">
  <sheetPr codeName="Sheet9"/>
  <dimension ref="A1:N52"/>
  <sheetViews>
    <sheetView zoomScaleNormal="100" workbookViewId="0">
      <selection activeCell="A36" sqref="A36"/>
    </sheetView>
  </sheetViews>
  <sheetFormatPr defaultRowHeight="14.4" x14ac:dyDescent="0.3"/>
  <cols>
    <col min="3" max="3" width="18.44140625" customWidth="1"/>
    <col min="4" max="4" width="12.33203125" customWidth="1"/>
    <col min="12" max="12" width="22.109375" bestFit="1" customWidth="1"/>
  </cols>
  <sheetData>
    <row r="1" spans="1:14" x14ac:dyDescent="0.3">
      <c r="A1" t="s">
        <v>204</v>
      </c>
      <c r="D1">
        <f>COUNTIF(E:E,"?*")</f>
        <v>18</v>
      </c>
      <c r="I1" t="s">
        <v>205</v>
      </c>
      <c r="M1">
        <f>COUNTIF(N:N,"?*")</f>
        <v>46</v>
      </c>
    </row>
    <row r="2" spans="1:14" x14ac:dyDescent="0.3">
      <c r="B2">
        <f>IF(ISNUMBER(SEARCH('UI Bahan Bakar'!$E$9,'List BBM'!C2)),MAX($B$1:B1,A2)+1,0)</f>
        <v>1</v>
      </c>
      <c r="C2" t="s">
        <v>193</v>
      </c>
      <c r="D2" t="str">
        <f ca="1">OFFSET($E$2,0,0,COUNTIF(E:E,"?*"),1)</f>
        <v>LNG/CNG</v>
      </c>
      <c r="E2" t="str">
        <f>IFERROR(VLOOKUP(ROWS($E$1:E1),$B$2:$C$19,2,FALSE),"")</f>
        <v>LNG/CNG</v>
      </c>
      <c r="K2">
        <f>IF(ISNUMBER(SEARCH('UI Bahan Bakar'!$E$11,'List BBM'!L2)),MAX($K$1:K1,J2)+1,0)</f>
        <v>1</v>
      </c>
      <c r="L2" t="s">
        <v>23</v>
      </c>
      <c r="M2" t="str">
        <f ca="1">OFFSET($N$2,0,0,COUNTIF(N:N,"?*"),1)</f>
        <v>Minyak Mentah</v>
      </c>
      <c r="N2" t="str">
        <f>IFERROR(VLOOKUP(ROWS($N$1:N1),$K$2:$L$52,2,FALSE),"")</f>
        <v>Minyak Mentah</v>
      </c>
    </row>
    <row r="3" spans="1:14" x14ac:dyDescent="0.3">
      <c r="B3">
        <f>IF(ISNUMBER(SEARCH('UI Bahan Bakar'!$E$9,'List BBM'!C3)),MAX($B$1:B2,A3)+1,0)</f>
        <v>2</v>
      </c>
      <c r="C3" t="s">
        <v>1</v>
      </c>
      <c r="E3" t="str">
        <f>IFERROR(VLOOKUP(ROWS($E$1:E2),$B$2:$C$19,2,FALSE),"")</f>
        <v>Premium</v>
      </c>
      <c r="K3">
        <f>IF(ISNUMBER(SEARCH('UI Bahan Bakar'!$E$11,'List BBM'!L3)),MAX($K$1:K2,J3)+1,0)</f>
        <v>2</v>
      </c>
      <c r="L3" t="s">
        <v>151</v>
      </c>
      <c r="N3" t="str">
        <f>IFERROR(VLOOKUP(ROWS($N$1:N2),$K$2:$L$52,2,FALSE),"")</f>
        <v>Orimulsion</v>
      </c>
    </row>
    <row r="4" spans="1:14" x14ac:dyDescent="0.3">
      <c r="B4">
        <f>IF(ISNUMBER(SEARCH('UI Bahan Bakar'!$E$9,'List BBM'!C4)),MAX($B$1:B3,A4)+1,0)</f>
        <v>3</v>
      </c>
      <c r="C4" t="s">
        <v>202</v>
      </c>
      <c r="E4" t="str">
        <f>IFERROR(VLOOKUP(ROWS($E$1:E3),$B$2:$C$19,2,FALSE),"")</f>
        <v>Pertalite</v>
      </c>
      <c r="K4">
        <f>IF(ISNUMBER(SEARCH('UI Bahan Bakar'!$E$11,'List BBM'!L4)),MAX($K$1:K3,J4)+1,0)</f>
        <v>3</v>
      </c>
      <c r="L4" t="s">
        <v>193</v>
      </c>
      <c r="N4" t="str">
        <f>IFERROR(VLOOKUP(ROWS($N$1:N3),$K$2:$L$52,2,FALSE),"")</f>
        <v>LNG/CNG</v>
      </c>
    </row>
    <row r="5" spans="1:14" x14ac:dyDescent="0.3">
      <c r="B5">
        <f>IF(ISNUMBER(SEARCH('UI Bahan Bakar'!$E$9,'List BBM'!C5)),MAX($B$1:B4,A5)+1,0)</f>
        <v>4</v>
      </c>
      <c r="C5" t="s">
        <v>201</v>
      </c>
      <c r="E5" t="str">
        <f>IFERROR(VLOOKUP(ROWS($E$1:E4),$B$2:$C$19,2,FALSE),"")</f>
        <v>Pertamax</v>
      </c>
      <c r="K5">
        <f>IF(ISNUMBER(SEARCH('UI Bahan Bakar'!$E$11,'List BBM'!L5)),MAX($K$1:K4,J5)+1,0)</f>
        <v>4</v>
      </c>
      <c r="L5" t="s">
        <v>1</v>
      </c>
      <c r="N5" t="str">
        <f>IFERROR(VLOOKUP(ROWS($N$1:N4),$K$2:$L$52,2,FALSE),"")</f>
        <v>Premium</v>
      </c>
    </row>
    <row r="6" spans="1:14" x14ac:dyDescent="0.3">
      <c r="B6">
        <f>IF(ISNUMBER(SEARCH('UI Bahan Bakar'!$E$9,'List BBM'!C6)),MAX($B$1:B5,A6)+1,0)</f>
        <v>5</v>
      </c>
      <c r="C6" t="s">
        <v>203</v>
      </c>
      <c r="E6" t="str">
        <f>IFERROR(VLOOKUP(ROWS($E$1:E5),$B$2:$C$19,2,FALSE),"")</f>
        <v>Pertamax Plus/Turbo</v>
      </c>
      <c r="K6">
        <f>IF(ISNUMBER(SEARCH('UI Bahan Bakar'!$E$11,'List BBM'!L6)),MAX($K$1:K5,J6)+1,0)</f>
        <v>5</v>
      </c>
      <c r="L6" t="s">
        <v>202</v>
      </c>
      <c r="N6" t="str">
        <f>IFERROR(VLOOKUP(ROWS($N$1:N5),$K$2:$L$52,2,FALSE),"")</f>
        <v>Pertalite</v>
      </c>
    </row>
    <row r="7" spans="1:14" x14ac:dyDescent="0.3">
      <c r="B7">
        <f>IF(ISNUMBER(SEARCH('UI Bahan Bakar'!$E$9,'List BBM'!C7)),MAX($B$1:B6,A7)+1,0)</f>
        <v>6</v>
      </c>
      <c r="C7" t="s">
        <v>25</v>
      </c>
      <c r="E7" t="str">
        <f>IFERROR(VLOOKUP(ROWS($E$1:E6),$B$2:$C$19,2,FALSE),"")</f>
        <v>Avgas</v>
      </c>
      <c r="K7">
        <f>IF(ISNUMBER(SEARCH('UI Bahan Bakar'!$E$11,'List BBM'!L7)),MAX($K$1:K6,J7)+1,0)</f>
        <v>6</v>
      </c>
      <c r="L7" t="s">
        <v>201</v>
      </c>
      <c r="N7" t="str">
        <f>IFERROR(VLOOKUP(ROWS($N$1:N6),$K$2:$L$52,2,FALSE),"")</f>
        <v>Pertamax</v>
      </c>
    </row>
    <row r="8" spans="1:14" x14ac:dyDescent="0.3">
      <c r="B8">
        <f>IF(ISNUMBER(SEARCH('UI Bahan Bakar'!$E$9,'List BBM'!C8)),MAX($B$1:B7,A8)+1,0)</f>
        <v>7</v>
      </c>
      <c r="C8" t="s">
        <v>26</v>
      </c>
      <c r="E8" t="str">
        <f>IFERROR(VLOOKUP(ROWS($E$1:E7),$B$2:$C$19,2,FALSE),"")</f>
        <v>Avtur</v>
      </c>
      <c r="K8">
        <f>IF(ISNUMBER(SEARCH('UI Bahan Bakar'!$E$11,'List BBM'!L8)),MAX($K$1:K7,J8)+1,0)</f>
        <v>7</v>
      </c>
      <c r="L8" t="s">
        <v>203</v>
      </c>
      <c r="N8" t="str">
        <f>IFERROR(VLOOKUP(ROWS($N$1:N7),$K$2:$L$52,2,FALSE),"")</f>
        <v>Pertamax Plus/Turbo</v>
      </c>
    </row>
    <row r="9" spans="1:14" x14ac:dyDescent="0.3">
      <c r="B9">
        <f>IF(ISNUMBER(SEARCH('UI Bahan Bakar'!$E$9,'List BBM'!C9)),MAX($B$1:B8,A9)+1,0)</f>
        <v>8</v>
      </c>
      <c r="C9" t="s">
        <v>152</v>
      </c>
      <c r="E9" t="str">
        <f>IFERROR(VLOOKUP(ROWS($E$1:E8),$B$2:$C$19,2,FALSE),"")</f>
        <v>Kerosin Jet</v>
      </c>
      <c r="K9">
        <f>IF(ISNUMBER(SEARCH('UI Bahan Bakar'!$E$11,'List BBM'!L9)),MAX($K$1:K8,J9)+1,0)</f>
        <v>8</v>
      </c>
      <c r="L9" t="s">
        <v>25</v>
      </c>
      <c r="N9" t="str">
        <f>IFERROR(VLOOKUP(ROWS($N$1:N8),$K$2:$L$52,2,FALSE),"")</f>
        <v>Avgas</v>
      </c>
    </row>
    <row r="10" spans="1:14" x14ac:dyDescent="0.3">
      <c r="B10">
        <f>IF(ISNUMBER(SEARCH('UI Bahan Bakar'!$E$9,'List BBM'!C10)),MAX($B$1:B9,A10)+1,0)</f>
        <v>9</v>
      </c>
      <c r="C10" t="s">
        <v>153</v>
      </c>
      <c r="E10" t="str">
        <f>IFERROR(VLOOKUP(ROWS($E$1:E9),$B$2:$C$19,2,FALSE),"")</f>
        <v>Kerosin Lain</v>
      </c>
      <c r="K10">
        <f>IF(ISNUMBER(SEARCH('UI Bahan Bakar'!$E$11,'List BBM'!L10)),MAX($K$1:K9,J10)+1,0)</f>
        <v>9</v>
      </c>
      <c r="L10" t="s">
        <v>26</v>
      </c>
      <c r="N10" t="str">
        <f>IFERROR(VLOOKUP(ROWS($N$1:N9),$K$2:$L$52,2,FALSE),"")</f>
        <v>Avtur</v>
      </c>
    </row>
    <row r="11" spans="1:14" x14ac:dyDescent="0.3">
      <c r="B11">
        <f>IF(ISNUMBER(SEARCH('UI Bahan Bakar'!$E$9,'List BBM'!C11)),MAX($B$1:B10,A11)+1,0)</f>
        <v>10</v>
      </c>
      <c r="C11" t="s">
        <v>155</v>
      </c>
      <c r="E11" t="str">
        <f>IFERROR(VLOOKUP(ROWS($E$1:E10),$B$2:$C$19,2,FALSE),"")</f>
        <v>Solar</v>
      </c>
      <c r="K11">
        <f>IF(ISNUMBER(SEARCH('UI Bahan Bakar'!$E$11,'List BBM'!L11)),MAX($K$1:K10,J11)+1,0)</f>
        <v>10</v>
      </c>
      <c r="L11" t="s">
        <v>152</v>
      </c>
      <c r="N11" t="str">
        <f>IFERROR(VLOOKUP(ROWS($N$1:N10),$K$2:$L$52,2,FALSE),"")</f>
        <v>Kerosin Jet</v>
      </c>
    </row>
    <row r="12" spans="1:14" x14ac:dyDescent="0.3">
      <c r="B12">
        <f>IF(ISNUMBER(SEARCH('UI Bahan Bakar'!$E$9,'List BBM'!C12)),MAX($B$1:B11,A12)+1,0)</f>
        <v>11</v>
      </c>
      <c r="C12" t="s">
        <v>156</v>
      </c>
      <c r="E12" t="str">
        <f>IFERROR(VLOOKUP(ROWS($E$1:E11),$B$2:$C$19,2,FALSE),"")</f>
        <v>Residu</v>
      </c>
      <c r="K12">
        <f>IF(ISNUMBER(SEARCH('UI Bahan Bakar'!$E$11,'List BBM'!L12)),MAX($K$1:K11,J12)+1,0)</f>
        <v>11</v>
      </c>
      <c r="L12" t="s">
        <v>153</v>
      </c>
      <c r="N12" t="str">
        <f>IFERROR(VLOOKUP(ROWS($N$1:N11),$K$2:$L$52,2,FALSE),"")</f>
        <v>Kerosin Lain</v>
      </c>
    </row>
    <row r="13" spans="1:14" x14ac:dyDescent="0.3">
      <c r="B13">
        <f>IF(ISNUMBER(SEARCH('UI Bahan Bakar'!$E$9,'List BBM'!C13)),MAX($B$1:B12,A13)+1,0)</f>
        <v>12</v>
      </c>
      <c r="C13" t="s">
        <v>3</v>
      </c>
      <c r="E13" t="str">
        <f>IFERROR(VLOOKUP(ROWS($E$1:E12),$B$2:$C$19,2,FALSE),"")</f>
        <v>LPG</v>
      </c>
      <c r="K13">
        <f>IF(ISNUMBER(SEARCH('UI Bahan Bakar'!$E$11,'List BBM'!L13)),MAX($K$1:K12,J13)+1,0)</f>
        <v>12</v>
      </c>
      <c r="L13" t="s">
        <v>154</v>
      </c>
      <c r="N13" t="str">
        <f>IFERROR(VLOOKUP(ROWS($N$1:N12),$K$2:$L$52,2,FALSE),"")</f>
        <v>Shale oil</v>
      </c>
    </row>
    <row r="14" spans="1:14" x14ac:dyDescent="0.3">
      <c r="B14">
        <f>IF(ISNUMBER(SEARCH('UI Bahan Bakar'!$E$9,'List BBM'!C14)),MAX($B$1:B13,A14)+1,0)</f>
        <v>13</v>
      </c>
      <c r="C14" t="s">
        <v>160</v>
      </c>
      <c r="E14" t="str">
        <f>IFERROR(VLOOKUP(ROWS($E$1:E13),$B$2:$C$19,2,FALSE),"")</f>
        <v>Pelumas</v>
      </c>
      <c r="K14">
        <f>IF(ISNUMBER(SEARCH('UI Bahan Bakar'!$E$11,'List BBM'!L14)),MAX($K$1:K13,J14)+1,0)</f>
        <v>13</v>
      </c>
      <c r="L14" t="s">
        <v>155</v>
      </c>
      <c r="N14" t="str">
        <f>IFERROR(VLOOKUP(ROWS($N$1:N13),$K$2:$L$52,2,FALSE),"")</f>
        <v>Solar</v>
      </c>
    </row>
    <row r="15" spans="1:14" x14ac:dyDescent="0.3">
      <c r="B15">
        <f>IF(ISNUMBER(SEARCH('UI Bahan Bakar'!$E$9,'List BBM'!C15)),MAX($B$1:B14,A15)+1,0)</f>
        <v>14</v>
      </c>
      <c r="C15" t="s">
        <v>163</v>
      </c>
      <c r="E15" t="str">
        <f>IFERROR(VLOOKUP(ROWS($E$1:E14),$B$2:$C$19,2,FALSE),"")</f>
        <v>Refinery gas</v>
      </c>
      <c r="K15">
        <f>IF(ISNUMBER(SEARCH('UI Bahan Bakar'!$E$11,'List BBM'!L15)),MAX($K$1:K14,J15)+1,0)</f>
        <v>14</v>
      </c>
      <c r="L15" t="s">
        <v>156</v>
      </c>
      <c r="N15" t="str">
        <f>IFERROR(VLOOKUP(ROWS($N$1:N14),$K$2:$L$52,2,FALSE),"")</f>
        <v>Residu</v>
      </c>
    </row>
    <row r="16" spans="1:14" x14ac:dyDescent="0.3">
      <c r="B16">
        <f>IF(ISNUMBER(SEARCH('UI Bahan Bakar'!$E$9,'List BBM'!C16)),MAX($B$1:B15,A16)+1,0)</f>
        <v>15</v>
      </c>
      <c r="C16" t="s">
        <v>164</v>
      </c>
      <c r="E16" t="str">
        <f>IFERROR(VLOOKUP(ROWS($E$1:E15),$B$2:$C$19,2,FALSE),"")</f>
        <v>Parafin</v>
      </c>
      <c r="K16">
        <f>IF(ISNUMBER(SEARCH('UI Bahan Bakar'!$E$11,'List BBM'!L16)),MAX($K$1:K15,J16)+1,0)</f>
        <v>15</v>
      </c>
      <c r="L16" t="s">
        <v>3</v>
      </c>
      <c r="N16" t="str">
        <f>IFERROR(VLOOKUP(ROWS($N$1:N15),$K$2:$L$52,2,FALSE),"")</f>
        <v>LPG</v>
      </c>
    </row>
    <row r="17" spans="2:14" x14ac:dyDescent="0.3">
      <c r="B17">
        <f>IF(ISNUMBER(SEARCH('UI Bahan Bakar'!$E$9,'List BBM'!C17)),MAX($B$1:B16,A17)+1,0)</f>
        <v>16</v>
      </c>
      <c r="C17" t="s">
        <v>165</v>
      </c>
      <c r="E17" t="str">
        <f>IFERROR(VLOOKUP(ROWS($E$1:E16),$B$2:$C$19,2,FALSE),"")</f>
        <v>Solvent</v>
      </c>
      <c r="K17">
        <f>IF(ISNUMBER(SEARCH('UI Bahan Bakar'!$E$11,'List BBM'!L17)),MAX($K$1:K16,J17)+1,0)</f>
        <v>16</v>
      </c>
      <c r="L17" t="s">
        <v>157</v>
      </c>
      <c r="N17" t="str">
        <f>IFERROR(VLOOKUP(ROWS($N$1:N16),$K$2:$L$52,2,FALSE),"")</f>
        <v>Ethana</v>
      </c>
    </row>
    <row r="18" spans="2:14" x14ac:dyDescent="0.3">
      <c r="B18">
        <f>IF(ISNUMBER(SEARCH('UI Bahan Bakar'!$E$9,'List BBM'!C18)),MAX($B$1:B17,A18)+1,0)</f>
        <v>17</v>
      </c>
      <c r="C18" t="s">
        <v>169</v>
      </c>
      <c r="E18" t="str">
        <f>IFERROR(VLOOKUP(ROWS($E$1:E17),$B$2:$C$19,2,FALSE),"")</f>
        <v>Batubara Sub-bitumen</v>
      </c>
      <c r="K18">
        <f>IF(ISNUMBER(SEARCH('UI Bahan Bakar'!$E$11,'List BBM'!L18)),MAX($K$1:K17,J18)+1,0)</f>
        <v>17</v>
      </c>
      <c r="L18" t="s">
        <v>158</v>
      </c>
      <c r="N18" t="str">
        <f>IFERROR(VLOOKUP(ROWS($N$1:N17),$K$2:$L$52,2,FALSE),"")</f>
        <v>Nafta</v>
      </c>
    </row>
    <row r="19" spans="2:14" x14ac:dyDescent="0.3">
      <c r="B19">
        <f>IF(ISNUMBER(SEARCH('UI Bahan Bakar'!$E$9,'List BBM'!C19)),MAX($B$1:B18,A19)+1,0)</f>
        <v>18</v>
      </c>
      <c r="C19" t="s">
        <v>179</v>
      </c>
      <c r="E19" t="str">
        <f>IFERROR(VLOOKUP(ROWS($E$1:E18),$B$2:$C$19,2,FALSE),"")</f>
        <v>Gas Alam</v>
      </c>
      <c r="K19">
        <f>IF(ISNUMBER(SEARCH('UI Bahan Bakar'!$E$11,'List BBM'!L19)),MAX($K$1:K18,J19)+1,0)</f>
        <v>18</v>
      </c>
      <c r="L19" t="s">
        <v>159</v>
      </c>
      <c r="N19" t="str">
        <f>IFERROR(VLOOKUP(ROWS($N$1:N18),$K$2:$L$52,2,FALSE),"")</f>
        <v>Bitumen</v>
      </c>
    </row>
    <row r="20" spans="2:14" x14ac:dyDescent="0.3">
      <c r="K20">
        <f>IF(ISNUMBER(SEARCH('UI Bahan Bakar'!$E$11,'List BBM'!L20)),MAX($K$1:K19,J20)+1,0)</f>
        <v>19</v>
      </c>
      <c r="L20" t="s">
        <v>160</v>
      </c>
      <c r="N20" t="str">
        <f>IFERROR(VLOOKUP(ROWS($N$1:N19),$K$2:$L$52,2,FALSE),"")</f>
        <v>Pelumas</v>
      </c>
    </row>
    <row r="21" spans="2:14" x14ac:dyDescent="0.3">
      <c r="K21">
        <f>IF(ISNUMBER(SEARCH('UI Bahan Bakar'!$E$11,'List BBM'!L21)),MAX($K$1:K20,J21)+1,0)</f>
        <v>20</v>
      </c>
      <c r="L21" t="s">
        <v>161</v>
      </c>
      <c r="N21" t="str">
        <f>IFERROR(VLOOKUP(ROWS($N$1:N20),$K$2:$L$52,2,FALSE),"")</f>
        <v>Kokas</v>
      </c>
    </row>
    <row r="22" spans="2:14" x14ac:dyDescent="0.3">
      <c r="K22">
        <f>IF(ISNUMBER(SEARCH('UI Bahan Bakar'!$E$11,'List BBM'!L22)),MAX($K$1:K21,J22)+1,0)</f>
        <v>21</v>
      </c>
      <c r="L22" t="s">
        <v>162</v>
      </c>
      <c r="N22" t="str">
        <f>IFERROR(VLOOKUP(ROWS($N$1:N21),$K$2:$L$52,2,FALSE),"")</f>
        <v>Refinery feedstock</v>
      </c>
    </row>
    <row r="23" spans="2:14" x14ac:dyDescent="0.3">
      <c r="K23">
        <f>IF(ISNUMBER(SEARCH('UI Bahan Bakar'!$E$11,'List BBM'!L23)),MAX($K$1:K22,J23)+1,0)</f>
        <v>22</v>
      </c>
      <c r="L23" t="s">
        <v>163</v>
      </c>
      <c r="N23" t="str">
        <f>IFERROR(VLOOKUP(ROWS($N$1:N22),$K$2:$L$52,2,FALSE),"")</f>
        <v>Refinery gas</v>
      </c>
    </row>
    <row r="24" spans="2:14" x14ac:dyDescent="0.3">
      <c r="K24">
        <f>IF(ISNUMBER(SEARCH('UI Bahan Bakar'!$E$11,'List BBM'!L24)),MAX($K$1:K23,J24)+1,0)</f>
        <v>23</v>
      </c>
      <c r="L24" t="s">
        <v>164</v>
      </c>
      <c r="N24" t="str">
        <f>IFERROR(VLOOKUP(ROWS($N$1:N23),$K$2:$L$52,2,FALSE),"")</f>
        <v>Parafin</v>
      </c>
    </row>
    <row r="25" spans="2:14" x14ac:dyDescent="0.3">
      <c r="K25">
        <f>IF(ISNUMBER(SEARCH('UI Bahan Bakar'!$E$11,'List BBM'!L25)),MAX($K$1:K24,J25)+1,0)</f>
        <v>24</v>
      </c>
      <c r="L25" t="s">
        <v>165</v>
      </c>
      <c r="N25" t="str">
        <f>IFERROR(VLOOKUP(ROWS($N$1:N24),$K$2:$L$52,2,FALSE),"")</f>
        <v>Solvent</v>
      </c>
    </row>
    <row r="26" spans="2:14" x14ac:dyDescent="0.3">
      <c r="K26">
        <f>IF(ISNUMBER(SEARCH('UI Bahan Bakar'!$E$11,'List BBM'!L26)),MAX($K$1:K25,J26)+1,0)</f>
        <v>25</v>
      </c>
      <c r="L26" t="s">
        <v>166</v>
      </c>
      <c r="N26" t="str">
        <f>IFERROR(VLOOKUP(ROWS($N$1:N25),$K$2:$L$52,2,FALSE),"")</f>
        <v>Antrasit</v>
      </c>
    </row>
    <row r="27" spans="2:14" x14ac:dyDescent="0.3">
      <c r="K27">
        <f>IF(ISNUMBER(SEARCH('UI Bahan Bakar'!$E$11,'List BBM'!L27)),MAX($K$1:K26,J27)+1,0)</f>
        <v>26</v>
      </c>
      <c r="L27" t="s">
        <v>167</v>
      </c>
      <c r="N27" t="str">
        <f>IFERROR(VLOOKUP(ROWS($N$1:N26),$K$2:$L$52,2,FALSE),"")</f>
        <v>Arang Kokas</v>
      </c>
    </row>
    <row r="28" spans="2:14" x14ac:dyDescent="0.3">
      <c r="K28">
        <f>IF(ISNUMBER(SEARCH('UI Bahan Bakar'!$E$11,'List BBM'!L28)),MAX($K$1:K27,J28)+1,0)</f>
        <v>27</v>
      </c>
      <c r="L28" t="s">
        <v>168</v>
      </c>
      <c r="N28" t="str">
        <f>IFERROR(VLOOKUP(ROWS($N$1:N27),$K$2:$L$52,2,FALSE),"")</f>
        <v>Batubara Bitumen</v>
      </c>
    </row>
    <row r="29" spans="2:14" x14ac:dyDescent="0.3">
      <c r="K29">
        <f>IF(ISNUMBER(SEARCH('UI Bahan Bakar'!$E$11,'List BBM'!L29)),MAX($K$1:K28,J29)+1,0)</f>
        <v>28</v>
      </c>
      <c r="L29" t="s">
        <v>169</v>
      </c>
      <c r="N29" t="str">
        <f>IFERROR(VLOOKUP(ROWS($N$1:N28),$K$2:$L$52,2,FALSE),"")</f>
        <v>Batubara Sub-bitumen</v>
      </c>
    </row>
    <row r="30" spans="2:14" x14ac:dyDescent="0.3">
      <c r="K30">
        <f>IF(ISNUMBER(SEARCH('UI Bahan Bakar'!$E$11,'List BBM'!L30)),MAX($K$1:K29,J30)+1,0)</f>
        <v>29</v>
      </c>
      <c r="L30" t="s">
        <v>170</v>
      </c>
      <c r="N30" t="str">
        <f>IFERROR(VLOOKUP(ROWS($N$1:N29),$K$2:$L$52,2,FALSE),"")</f>
        <v>Lignit</v>
      </c>
    </row>
    <row r="31" spans="2:14" x14ac:dyDescent="0.3">
      <c r="K31">
        <f>IF(ISNUMBER(SEARCH('UI Bahan Bakar'!$E$11,'List BBM'!L31)),MAX($K$1:K30,J31)+1,0)</f>
        <v>30</v>
      </c>
      <c r="L31" t="s">
        <v>171</v>
      </c>
      <c r="N31" t="str">
        <f>IFERROR(VLOOKUP(ROWS($N$1:N30),$K$2:$L$52,2,FALSE),"")</f>
        <v>Bubuk Tar</v>
      </c>
    </row>
    <row r="32" spans="2:14" x14ac:dyDescent="0.3">
      <c r="K32">
        <f>IF(ISNUMBER(SEARCH('UI Bahan Bakar'!$E$11,'List BBM'!L32)),MAX($K$1:K31,J32)+1,0)</f>
        <v>31</v>
      </c>
      <c r="L32" t="s">
        <v>172</v>
      </c>
      <c r="N32" t="str">
        <f>IFERROR(VLOOKUP(ROWS($N$1:N31),$K$2:$L$52,2,FALSE),"")</f>
        <v>Briket Batubara</v>
      </c>
    </row>
    <row r="33" spans="11:14" x14ac:dyDescent="0.3">
      <c r="K33">
        <f>IF(ISNUMBER(SEARCH('UI Bahan Bakar'!$E$11,'List BBM'!L33)),MAX($K$1:K32,J33)+1,0)</f>
        <v>32</v>
      </c>
      <c r="L33" t="s">
        <v>173</v>
      </c>
      <c r="N33" t="str">
        <f>IFERROR(VLOOKUP(ROWS($N$1:N32),$K$2:$L$52,2,FALSE),"")</f>
        <v>Kokas Lignit</v>
      </c>
    </row>
    <row r="34" spans="11:14" x14ac:dyDescent="0.3">
      <c r="K34">
        <f>IF(ISNUMBER(SEARCH('UI Bahan Bakar'!$E$11,'List BBM'!L34)),MAX($K$1:K33,J34)+1,0)</f>
        <v>33</v>
      </c>
      <c r="L34" t="s">
        <v>174</v>
      </c>
      <c r="N34" t="str">
        <f>IFERROR(VLOOKUP(ROWS($N$1:N33),$K$2:$L$52,2,FALSE),"")</f>
        <v>Kokas Gas</v>
      </c>
    </row>
    <row r="35" spans="11:14" x14ac:dyDescent="0.3">
      <c r="K35">
        <f>IF(ISNUMBER(SEARCH('UI Bahan Bakar'!$E$11,'List BBM'!L35)),MAX($K$1:K34,J35)+1,0)</f>
        <v>34</v>
      </c>
      <c r="L35" t="s">
        <v>192</v>
      </c>
      <c r="N35" t="str">
        <f>IFERROR(VLOOKUP(ROWS($N$1:N34),$K$2:$L$52,2,FALSE),"")</f>
        <v>Tar Batubara</v>
      </c>
    </row>
    <row r="36" spans="11:14" x14ac:dyDescent="0.3">
      <c r="K36">
        <f>IF(ISNUMBER(SEARCH('UI Bahan Bakar'!$E$11,'List BBM'!L36)),MAX($K$1:K35,J36)+1,0)</f>
        <v>35</v>
      </c>
      <c r="L36" t="s">
        <v>175</v>
      </c>
      <c r="N36" t="str">
        <f>IFERROR(VLOOKUP(ROWS($N$1:N35),$K$2:$L$52,2,FALSE),"")</f>
        <v>Gas Works Gas</v>
      </c>
    </row>
    <row r="37" spans="11:14" x14ac:dyDescent="0.3">
      <c r="K37">
        <f>IF(ISNUMBER(SEARCH('UI Bahan Bakar'!$E$11,'List BBM'!L37)),MAX($K$1:K36,J37)+1,0)</f>
        <v>36</v>
      </c>
      <c r="L37" t="s">
        <v>176</v>
      </c>
      <c r="N37" t="str">
        <f>IFERROR(VLOOKUP(ROWS($N$1:N36),$K$2:$L$52,2,FALSE),"")</f>
        <v>Coke Oven Gas</v>
      </c>
    </row>
    <row r="38" spans="11:14" x14ac:dyDescent="0.3">
      <c r="K38">
        <f>IF(ISNUMBER(SEARCH('UI Bahan Bakar'!$E$11,'List BBM'!L38)),MAX($K$1:K37,J38)+1,0)</f>
        <v>37</v>
      </c>
      <c r="L38" t="s">
        <v>177</v>
      </c>
      <c r="N38" t="str">
        <f>IFERROR(VLOOKUP(ROWS($N$1:N37),$K$2:$L$52,2,FALSE),"")</f>
        <v>Blast Furnace Gas</v>
      </c>
    </row>
    <row r="39" spans="11:14" x14ac:dyDescent="0.3">
      <c r="K39">
        <f>IF(ISNUMBER(SEARCH('UI Bahan Bakar'!$E$11,'List BBM'!L39)),MAX($K$1:K38,J39)+1,0)</f>
        <v>38</v>
      </c>
      <c r="L39" t="s">
        <v>178</v>
      </c>
      <c r="N39" t="str">
        <f>IFERROR(VLOOKUP(ROWS($N$1:N38),$K$2:$L$52,2,FALSE),"")</f>
        <v>Oxygen Steel Furnace Gas</v>
      </c>
    </row>
    <row r="40" spans="11:14" x14ac:dyDescent="0.3">
      <c r="K40">
        <f>IF(ISNUMBER(SEARCH('UI Bahan Bakar'!$E$11,'List BBM'!L40)),MAX($K$1:K39,J40)+1,0)</f>
        <v>39</v>
      </c>
      <c r="L40" t="s">
        <v>179</v>
      </c>
      <c r="N40" t="str">
        <f>IFERROR(VLOOKUP(ROWS($N$1:N39),$K$2:$L$52,2,FALSE),"")</f>
        <v>Gas Alam</v>
      </c>
    </row>
    <row r="41" spans="11:14" x14ac:dyDescent="0.3">
      <c r="K41">
        <f>IF(ISNUMBER(SEARCH('UI Bahan Bakar'!$E$11,'List BBM'!L41)),MAX($K$1:K40,J41)+1,0)</f>
        <v>40</v>
      </c>
      <c r="L41" t="s">
        <v>180</v>
      </c>
      <c r="N41" t="str">
        <f>IFERROR(VLOOKUP(ROWS($N$1:N40),$K$2:$L$52,2,FALSE),"")</f>
        <v>Limbah Kota</v>
      </c>
    </row>
    <row r="42" spans="11:14" x14ac:dyDescent="0.3">
      <c r="K42">
        <f>IF(ISNUMBER(SEARCH('UI Bahan Bakar'!$E$11,'List BBM'!L42)),MAX($K$1:K41,J42)+1,0)</f>
        <v>41</v>
      </c>
      <c r="L42" t="s">
        <v>181</v>
      </c>
      <c r="N42" t="str">
        <f>IFERROR(VLOOKUP(ROWS($N$1:N41),$K$2:$L$52,2,FALSE),"")</f>
        <v>Minyak Limbah</v>
      </c>
    </row>
    <row r="43" spans="11:14" x14ac:dyDescent="0.3">
      <c r="K43">
        <f>IF(ISNUMBER(SEARCH('UI Bahan Bakar'!$E$11,'List BBM'!L43)),MAX($K$1:K42,J43)+1,0)</f>
        <v>42</v>
      </c>
      <c r="L43" t="s">
        <v>187</v>
      </c>
      <c r="N43" t="str">
        <f>IFERROR(VLOOKUP(ROWS($N$1:N42),$K$2:$L$52,2,FALSE),"")</f>
        <v>Biodiesel</v>
      </c>
    </row>
    <row r="44" spans="11:14" x14ac:dyDescent="0.3">
      <c r="K44">
        <f>IF(ISNUMBER(SEARCH('UI Bahan Bakar'!$E$11,'List BBM'!L44)),MAX($K$1:K43,J44)+1,0)</f>
        <v>43</v>
      </c>
      <c r="L44" t="s">
        <v>188</v>
      </c>
      <c r="N44" t="str">
        <f>IFERROR(VLOOKUP(ROWS($N$1:N43),$K$2:$L$52,2,FALSE),"")</f>
        <v>Biogasoline</v>
      </c>
    </row>
    <row r="45" spans="11:14" x14ac:dyDescent="0.3">
      <c r="K45">
        <f>IF(ISNUMBER(SEARCH('UI Bahan Bakar'!$E$11,'List BBM'!L45)),MAX($K$1:K44,J45)+1,0)</f>
        <v>44</v>
      </c>
      <c r="L45" t="s">
        <v>189</v>
      </c>
      <c r="N45" t="str">
        <f>IFERROR(VLOOKUP(ROWS($N$1:N44),$K$2:$L$52,2,FALSE),"")</f>
        <v>Landfill Gas</v>
      </c>
    </row>
    <row r="46" spans="11:14" x14ac:dyDescent="0.3">
      <c r="K46">
        <f>IF(ISNUMBER(SEARCH('UI Bahan Bakar'!$E$11,'List BBM'!L46)),MAX($K$1:K45,J46)+1,0)</f>
        <v>45</v>
      </c>
      <c r="L46" t="s">
        <v>190</v>
      </c>
      <c r="N46" t="str">
        <f>IFERROR(VLOOKUP(ROWS($N$1:N45),$K$2:$L$52,2,FALSE),"")</f>
        <v>Sludge Gas</v>
      </c>
    </row>
    <row r="47" spans="11:14" x14ac:dyDescent="0.3">
      <c r="K47">
        <f>IF(ISNUMBER(SEARCH('UI Bahan Bakar'!$E$11,'List BBM'!L47)),MAX($K$1:K46,J47)+1,0)</f>
        <v>46</v>
      </c>
      <c r="L47" t="s">
        <v>191</v>
      </c>
      <c r="N47" t="str">
        <f>IFERROR(VLOOKUP(ROWS($N$1:N46),$K$2:$L$52,2,FALSE),"")</f>
        <v>Biogas Lainnya</v>
      </c>
    </row>
    <row r="48" spans="11:14" x14ac:dyDescent="0.3">
      <c r="K48">
        <f>IF(ISNUMBER(SEARCH('UI Bahan Bakar'!$E$11,'List BBM'!L48)),MAX($K$1:K47,J48)+1,0)</f>
        <v>47</v>
      </c>
      <c r="L48" t="s">
        <v>182</v>
      </c>
    </row>
    <row r="49" spans="11:12" x14ac:dyDescent="0.3">
      <c r="K49">
        <f>IF(ISNUMBER(SEARCH('UI Bahan Bakar'!$E$11,'List BBM'!L49)),MAX($K$1:K48,J49)+1,0)</f>
        <v>48</v>
      </c>
      <c r="L49" t="s">
        <v>183</v>
      </c>
    </row>
    <row r="50" spans="11:12" x14ac:dyDescent="0.3">
      <c r="K50">
        <f>IF(ISNUMBER(SEARCH('UI Bahan Bakar'!$E$11,'List BBM'!L50)),MAX($K$1:K49,J50)+1,0)</f>
        <v>49</v>
      </c>
      <c r="L50" t="s">
        <v>184</v>
      </c>
    </row>
    <row r="51" spans="11:12" x14ac:dyDescent="0.3">
      <c r="K51">
        <f>IF(ISNUMBER(SEARCH('UI Bahan Bakar'!$E$11,'List BBM'!L51)),MAX($K$1:K50,J51)+1,0)</f>
        <v>50</v>
      </c>
      <c r="L51" t="s">
        <v>185</v>
      </c>
    </row>
    <row r="52" spans="11:12" x14ac:dyDescent="0.3">
      <c r="K52">
        <f>IF(ISNUMBER(SEARCH('UI Bahan Bakar'!$E$11,'List BBM'!L52)),MAX($K$1:K51,J52)+1,0)</f>
        <v>51</v>
      </c>
      <c r="L52" t="s">
        <v>186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A2B2D-099F-4432-9213-E7BD59270945}">
  <sheetPr codeName="Sheet10"/>
  <dimension ref="A1:J41"/>
  <sheetViews>
    <sheetView showGridLines="0" zoomScale="86" zoomScaleNormal="86" workbookViewId="0">
      <selection activeCell="H7" sqref="H7"/>
    </sheetView>
  </sheetViews>
  <sheetFormatPr defaultRowHeight="14.4" x14ac:dyDescent="0.3"/>
  <cols>
    <col min="1" max="1" width="73.6640625" customWidth="1"/>
    <col min="2" max="2" width="7.44140625" style="27" customWidth="1"/>
    <col min="3" max="3" width="55.77734375" style="30" customWidth="1"/>
    <col min="4" max="4" width="7.5546875" style="30" customWidth="1"/>
    <col min="5" max="5" width="37.109375" style="30" customWidth="1"/>
    <col min="6" max="6" width="1.88671875" style="28" customWidth="1"/>
    <col min="7" max="7" width="4.77734375" style="28" customWidth="1"/>
    <col min="8" max="8" width="10.33203125" style="24" customWidth="1"/>
  </cols>
  <sheetData>
    <row r="1" spans="1:8" x14ac:dyDescent="0.3">
      <c r="A1" s="24"/>
      <c r="B1" s="80"/>
      <c r="C1" s="81"/>
      <c r="D1" s="81"/>
      <c r="E1" s="81"/>
      <c r="F1" s="82"/>
      <c r="G1" s="82"/>
      <c r="H1" s="80"/>
    </row>
    <row r="2" spans="1:8" x14ac:dyDescent="0.3">
      <c r="A2" s="24"/>
      <c r="B2" s="80"/>
      <c r="C2" s="81"/>
      <c r="D2" s="81"/>
      <c r="E2" s="81"/>
      <c r="F2" s="82"/>
      <c r="G2" s="82"/>
      <c r="H2" s="80"/>
    </row>
    <row r="3" spans="1:8" ht="56.4" customHeight="1" x14ac:dyDescent="0.3">
      <c r="A3" s="24"/>
      <c r="B3" s="80"/>
      <c r="C3" s="83"/>
      <c r="D3" s="83"/>
      <c r="E3" s="83"/>
      <c r="F3" s="84"/>
      <c r="G3" s="84"/>
      <c r="H3" s="80"/>
    </row>
    <row r="4" spans="1:8" ht="18" customHeight="1" thickBot="1" x14ac:dyDescent="0.35">
      <c r="A4" s="24"/>
      <c r="B4" s="80"/>
      <c r="C4" s="81"/>
      <c r="D4" s="81"/>
      <c r="E4" s="81"/>
      <c r="F4" s="82"/>
      <c r="G4" s="82"/>
      <c r="H4" s="80"/>
    </row>
    <row r="5" spans="1:8" s="14" customFormat="1" ht="27.6" customHeight="1" thickBot="1" x14ac:dyDescent="0.3">
      <c r="A5" s="25"/>
      <c r="B5" s="78"/>
      <c r="C5" s="99" t="s">
        <v>141</v>
      </c>
      <c r="D5" s="90"/>
      <c r="E5" s="142" t="s">
        <v>145</v>
      </c>
      <c r="F5" s="82"/>
      <c r="G5" s="91"/>
      <c r="H5" s="85"/>
    </row>
    <row r="6" spans="1:8" s="14" customFormat="1" ht="11.4" customHeight="1" thickBot="1" x14ac:dyDescent="0.35">
      <c r="A6" s="25"/>
      <c r="B6" s="78"/>
      <c r="C6" s="86"/>
      <c r="D6" s="87"/>
      <c r="E6" s="93"/>
      <c r="F6" s="91"/>
      <c r="G6" s="92"/>
      <c r="H6" s="85"/>
    </row>
    <row r="7" spans="1:8" s="14" customFormat="1" ht="27.6" customHeight="1" thickBot="1" x14ac:dyDescent="0.35">
      <c r="A7" s="25"/>
      <c r="B7" s="78"/>
      <c r="C7" s="99" t="s">
        <v>213</v>
      </c>
      <c r="D7" s="90"/>
      <c r="E7" s="114"/>
      <c r="F7" s="53"/>
      <c r="G7" s="92"/>
      <c r="H7" s="85"/>
    </row>
    <row r="8" spans="1:8" s="14" customFormat="1" ht="13.2" customHeight="1" thickBot="1" x14ac:dyDescent="0.35">
      <c r="A8" s="25"/>
      <c r="B8" s="78"/>
      <c r="C8" s="86"/>
      <c r="D8" s="87"/>
      <c r="E8" s="94"/>
      <c r="F8" s="91"/>
      <c r="G8" s="92"/>
      <c r="H8" s="85"/>
    </row>
    <row r="9" spans="1:8" s="14" customFormat="1" ht="27.6" customHeight="1" thickBot="1" x14ac:dyDescent="0.35">
      <c r="A9" s="25"/>
      <c r="B9" s="78"/>
      <c r="C9" s="99" t="s">
        <v>231</v>
      </c>
      <c r="D9" s="90"/>
      <c r="E9" s="141" t="str">
        <f>IFERROR(VLOOKUP(E7,'FE Listrik'!A4:B111,2,FALSE),"0")</f>
        <v>0</v>
      </c>
      <c r="F9" s="88"/>
      <c r="G9" s="89" t="s">
        <v>240</v>
      </c>
      <c r="H9" s="85"/>
    </row>
    <row r="10" spans="1:8" s="14" customFormat="1" ht="11.4" customHeight="1" thickBot="1" x14ac:dyDescent="0.35">
      <c r="A10" s="25"/>
      <c r="B10" s="78"/>
      <c r="C10" s="86"/>
      <c r="D10" s="87"/>
      <c r="E10" s="94"/>
      <c r="F10" s="91"/>
      <c r="G10" s="92"/>
      <c r="H10" s="85"/>
    </row>
    <row r="11" spans="1:8" s="14" customFormat="1" ht="27.6" customHeight="1" thickBot="1" x14ac:dyDescent="0.35">
      <c r="A11" s="25"/>
      <c r="B11" s="78"/>
      <c r="C11" s="99" t="s">
        <v>232</v>
      </c>
      <c r="D11" s="90"/>
      <c r="E11" s="141">
        <v>0</v>
      </c>
      <c r="F11" s="88"/>
      <c r="G11" s="89" t="s">
        <v>240</v>
      </c>
      <c r="H11" s="85"/>
    </row>
    <row r="12" spans="1:8" s="14" customFormat="1" ht="11.4" customHeight="1" thickBot="1" x14ac:dyDescent="0.35">
      <c r="A12" s="25"/>
      <c r="B12" s="78"/>
      <c r="C12" s="86"/>
      <c r="D12" s="87"/>
      <c r="E12" s="94"/>
      <c r="F12" s="91"/>
      <c r="G12" s="92"/>
      <c r="H12" s="85"/>
    </row>
    <row r="13" spans="1:8" s="14" customFormat="1" ht="27.6" customHeight="1" thickBot="1" x14ac:dyDescent="0.35">
      <c r="A13" s="25"/>
      <c r="B13" s="78"/>
      <c r="C13" s="99" t="s">
        <v>233</v>
      </c>
      <c r="D13" s="90"/>
      <c r="E13" s="141">
        <v>0</v>
      </c>
      <c r="F13" s="88"/>
      <c r="G13" s="89" t="s">
        <v>240</v>
      </c>
      <c r="H13" s="85"/>
    </row>
    <row r="14" spans="1:8" s="14" customFormat="1" ht="11.4" customHeight="1" thickBot="1" x14ac:dyDescent="0.35">
      <c r="A14" s="25"/>
      <c r="B14" s="78"/>
      <c r="C14" s="86"/>
      <c r="D14" s="87"/>
      <c r="E14" s="94"/>
      <c r="F14" s="88"/>
      <c r="G14" s="89"/>
      <c r="H14" s="85"/>
    </row>
    <row r="15" spans="1:8" s="14" customFormat="1" ht="27.6" customHeight="1" thickBot="1" x14ac:dyDescent="0.35">
      <c r="A15" s="25"/>
      <c r="B15" s="78"/>
      <c r="C15" s="99" t="s">
        <v>209</v>
      </c>
      <c r="D15" s="90"/>
      <c r="E15" s="119"/>
      <c r="F15" s="54"/>
      <c r="G15" s="89" t="s">
        <v>241</v>
      </c>
      <c r="H15" s="85"/>
    </row>
    <row r="16" spans="1:8" s="14" customFormat="1" ht="27.6" customHeight="1" x14ac:dyDescent="0.3">
      <c r="A16" s="25"/>
      <c r="B16" s="85"/>
      <c r="C16" s="86"/>
      <c r="D16" s="87"/>
      <c r="E16" s="87"/>
      <c r="F16" s="88"/>
      <c r="G16" s="89"/>
      <c r="H16" s="85"/>
    </row>
    <row r="17" spans="1:8" s="14" customFormat="1" ht="27.6" customHeight="1" x14ac:dyDescent="0.3">
      <c r="A17" s="25"/>
      <c r="B17" s="85"/>
      <c r="C17" s="86"/>
      <c r="D17" s="87"/>
      <c r="E17" s="87"/>
      <c r="F17" s="88"/>
      <c r="G17" s="89"/>
      <c r="H17" s="85"/>
    </row>
    <row r="18" spans="1:8" s="14" customFormat="1" ht="27.6" customHeight="1" x14ac:dyDescent="0.3">
      <c r="A18" s="25"/>
      <c r="B18" s="85"/>
      <c r="C18" s="86"/>
      <c r="D18" s="87"/>
      <c r="E18" s="87"/>
      <c r="F18" s="88"/>
      <c r="G18" s="89"/>
      <c r="H18" s="85"/>
    </row>
    <row r="19" spans="1:8" s="14" customFormat="1" ht="27.6" customHeight="1" x14ac:dyDescent="0.3">
      <c r="A19" s="25"/>
      <c r="B19" s="85"/>
      <c r="C19" s="86"/>
      <c r="D19" s="87"/>
      <c r="E19" s="86"/>
      <c r="F19" s="88"/>
      <c r="G19" s="89"/>
      <c r="H19" s="85"/>
    </row>
    <row r="20" spans="1:8" s="14" customFormat="1" ht="12" customHeight="1" x14ac:dyDescent="0.3">
      <c r="A20" s="25"/>
      <c r="B20" s="85"/>
      <c r="C20" s="86"/>
      <c r="D20" s="87"/>
      <c r="E20" s="86"/>
      <c r="F20" s="88"/>
      <c r="G20" s="89"/>
      <c r="H20" s="85"/>
    </row>
    <row r="21" spans="1:8" s="14" customFormat="1" ht="12" customHeight="1" x14ac:dyDescent="0.3">
      <c r="A21" s="25"/>
      <c r="B21" s="85"/>
      <c r="C21" s="86"/>
      <c r="D21" s="87"/>
      <c r="E21" s="87"/>
      <c r="F21" s="88"/>
      <c r="G21" s="89"/>
      <c r="H21" s="85"/>
    </row>
    <row r="22" spans="1:8" s="14" customFormat="1" ht="27.6" customHeight="1" x14ac:dyDescent="0.3">
      <c r="A22" s="25"/>
      <c r="B22" s="85"/>
      <c r="C22" s="99" t="s">
        <v>146</v>
      </c>
      <c r="D22" s="87"/>
      <c r="E22" s="87"/>
      <c r="F22" s="88"/>
      <c r="G22" s="89"/>
      <c r="H22" s="85"/>
    </row>
    <row r="23" spans="1:8" s="14" customFormat="1" ht="11.4" customHeight="1" thickBot="1" x14ac:dyDescent="0.35">
      <c r="A23" s="25"/>
      <c r="B23" s="85"/>
      <c r="C23" s="86"/>
      <c r="D23" s="87"/>
      <c r="E23" s="87"/>
      <c r="F23" s="88"/>
      <c r="G23" s="89"/>
      <c r="H23" s="85"/>
    </row>
    <row r="24" spans="1:8" s="14" customFormat="1" ht="27.6" customHeight="1" thickBot="1" x14ac:dyDescent="0.35">
      <c r="A24" s="25"/>
      <c r="B24" s="85"/>
      <c r="C24" s="99" t="s">
        <v>223</v>
      </c>
      <c r="D24" s="90"/>
      <c r="E24" s="40"/>
      <c r="F24" s="88"/>
      <c r="G24" s="89" t="s">
        <v>224</v>
      </c>
      <c r="H24" s="85"/>
    </row>
    <row r="25" spans="1:8" s="14" customFormat="1" ht="27.6" customHeight="1" thickBot="1" x14ac:dyDescent="0.35">
      <c r="A25" s="25"/>
      <c r="B25" s="85"/>
      <c r="C25" s="86"/>
      <c r="D25" s="90"/>
      <c r="E25" s="41"/>
      <c r="F25" s="88"/>
      <c r="G25" s="89" t="s">
        <v>225</v>
      </c>
      <c r="H25" s="85"/>
    </row>
    <row r="26" spans="1:8" s="14" customFormat="1" ht="27.6" customHeight="1" thickBot="1" x14ac:dyDescent="0.35">
      <c r="A26" s="25"/>
      <c r="B26" s="85"/>
      <c r="C26" s="86"/>
      <c r="D26" s="87"/>
      <c r="E26" s="87"/>
      <c r="F26" s="88"/>
      <c r="G26" s="89"/>
      <c r="H26" s="85"/>
    </row>
    <row r="27" spans="1:8" s="14" customFormat="1" ht="27.6" customHeight="1" thickBot="1" x14ac:dyDescent="0.35">
      <c r="A27" s="25"/>
      <c r="B27" s="85"/>
      <c r="C27" s="99" t="s">
        <v>226</v>
      </c>
      <c r="D27" s="90"/>
      <c r="E27" s="40"/>
      <c r="F27" s="88"/>
      <c r="G27" s="89" t="s">
        <v>227</v>
      </c>
      <c r="H27" s="85"/>
    </row>
    <row r="28" spans="1:8" s="14" customFormat="1" ht="27.6" customHeight="1" thickBot="1" x14ac:dyDescent="0.35">
      <c r="A28" s="25"/>
      <c r="B28" s="85"/>
      <c r="C28" s="86"/>
      <c r="D28" s="90"/>
      <c r="E28" s="41"/>
      <c r="F28" s="88"/>
      <c r="G28" s="89" t="s">
        <v>225</v>
      </c>
      <c r="H28" s="85"/>
    </row>
    <row r="29" spans="1:8" s="14" customFormat="1" ht="27.6" customHeight="1" thickBot="1" x14ac:dyDescent="0.35">
      <c r="A29"/>
      <c r="B29" s="85"/>
      <c r="C29" s="86"/>
      <c r="D29" s="87"/>
      <c r="E29" s="87"/>
      <c r="F29" s="88"/>
      <c r="G29" s="89"/>
      <c r="H29" s="85"/>
    </row>
    <row r="30" spans="1:8" s="14" customFormat="1" ht="27.6" customHeight="1" thickBot="1" x14ac:dyDescent="0.35">
      <c r="A30" s="25"/>
      <c r="B30" s="85"/>
      <c r="C30" s="99" t="s">
        <v>228</v>
      </c>
      <c r="D30" s="90"/>
      <c r="E30" s="40"/>
      <c r="F30" s="88"/>
      <c r="G30" s="89" t="s">
        <v>229</v>
      </c>
      <c r="H30" s="85"/>
    </row>
    <row r="31" spans="1:8" s="14" customFormat="1" ht="27.6" customHeight="1" thickBot="1" x14ac:dyDescent="0.35">
      <c r="A31" s="25"/>
      <c r="B31" s="85"/>
      <c r="C31" s="86"/>
      <c r="D31" s="90"/>
      <c r="E31" s="41"/>
      <c r="F31" s="88"/>
      <c r="G31" s="89" t="s">
        <v>225</v>
      </c>
      <c r="H31" s="85"/>
    </row>
    <row r="32" spans="1:8" s="14" customFormat="1" ht="27.6" customHeight="1" thickBot="1" x14ac:dyDescent="0.35">
      <c r="A32" s="25"/>
      <c r="B32" s="85"/>
      <c r="C32" s="86"/>
      <c r="D32" s="87"/>
      <c r="E32" s="87"/>
      <c r="F32" s="88"/>
      <c r="G32" s="89"/>
      <c r="H32" s="85"/>
    </row>
    <row r="33" spans="1:10" s="14" customFormat="1" ht="27.6" customHeight="1" thickBot="1" x14ac:dyDescent="0.35">
      <c r="A33" s="25"/>
      <c r="B33" s="85"/>
      <c r="C33" s="99" t="s">
        <v>230</v>
      </c>
      <c r="D33" s="90"/>
      <c r="E33" s="42"/>
      <c r="F33" s="88"/>
      <c r="G33" s="89" t="s">
        <v>225</v>
      </c>
      <c r="H33" s="85"/>
    </row>
    <row r="34" spans="1:10" s="14" customFormat="1" ht="18" customHeight="1" x14ac:dyDescent="0.3">
      <c r="A34" s="25"/>
      <c r="B34" s="85"/>
      <c r="C34" s="97"/>
      <c r="D34" s="98"/>
      <c r="E34" s="98"/>
      <c r="F34" s="95"/>
      <c r="G34" s="96"/>
      <c r="H34" s="85"/>
    </row>
    <row r="35" spans="1:10" s="14" customFormat="1" ht="18" customHeight="1" x14ac:dyDescent="0.3">
      <c r="A35" s="25"/>
      <c r="B35" s="85"/>
      <c r="C35" s="97"/>
      <c r="D35" s="98"/>
      <c r="E35" s="98"/>
      <c r="F35" s="95"/>
      <c r="G35" s="96"/>
      <c r="H35" s="85"/>
    </row>
    <row r="36" spans="1:10" s="14" customFormat="1" ht="18" customHeight="1" x14ac:dyDescent="0.3">
      <c r="A36" s="25"/>
      <c r="B36" s="85"/>
      <c r="C36" s="97"/>
      <c r="D36" s="98"/>
      <c r="E36" s="98"/>
      <c r="F36" s="95"/>
      <c r="G36" s="95"/>
      <c r="H36" s="85"/>
    </row>
    <row r="37" spans="1:10" s="14" customFormat="1" ht="18" customHeight="1" x14ac:dyDescent="0.3">
      <c r="A37" s="25"/>
      <c r="B37" s="85"/>
      <c r="C37" s="97"/>
      <c r="D37" s="98"/>
      <c r="E37" s="98"/>
      <c r="F37" s="95"/>
      <c r="G37" s="95"/>
      <c r="H37" s="85"/>
    </row>
    <row r="38" spans="1:10" s="14" customFormat="1" ht="18" customHeight="1" x14ac:dyDescent="0.3">
      <c r="A38" s="25"/>
      <c r="B38" s="85"/>
      <c r="C38" s="97"/>
      <c r="D38" s="98"/>
      <c r="E38" s="98"/>
      <c r="F38" s="95"/>
      <c r="G38" s="95"/>
      <c r="H38" s="85"/>
    </row>
    <row r="39" spans="1:10" ht="8.4" customHeight="1" x14ac:dyDescent="0.3">
      <c r="A39" s="24"/>
      <c r="B39" s="80"/>
      <c r="C39" s="81"/>
      <c r="D39" s="81"/>
      <c r="E39" s="81"/>
      <c r="F39" s="82"/>
      <c r="G39" s="82"/>
      <c r="H39" s="80"/>
      <c r="I39" s="14"/>
      <c r="J39" s="14"/>
    </row>
    <row r="40" spans="1:10" x14ac:dyDescent="0.3">
      <c r="B40" s="22"/>
      <c r="C40" s="29"/>
      <c r="D40" s="29"/>
      <c r="E40" s="29"/>
      <c r="F40" s="26"/>
      <c r="G40" s="26"/>
    </row>
    <row r="41" spans="1:10" x14ac:dyDescent="0.3">
      <c r="B41" s="22"/>
      <c r="C41" s="29"/>
      <c r="D41" s="29"/>
      <c r="E41" s="29"/>
      <c r="F41" s="26"/>
      <c r="G41" s="26"/>
    </row>
  </sheetData>
  <sheetProtection algorithmName="SHA-512" hashValue="WHWqt0oSxl0+rMHClcAR/FUbHOnYx+RxMfIhQD8nx82HaGfNTgmZdBUciNgfRzZggHFfsXhXvqaArk7s0oBReQ==" saltValue="QgPlYsoh4Vo/ZjStJFJ+rQ==" spinCount="100000" sheet="1" objects="1" scenarios="1"/>
  <dataValidations count="1">
    <dataValidation type="list" allowBlank="1" showInputMessage="1" sqref="E7" xr:uid="{7FF4A674-6DAC-42A6-BFEF-41B5C5DFE678}">
      <formula1>ListKotaNew</formula1>
    </dataValidation>
  </dataValidations>
  <pageMargins left="0.7" right="0.7" top="0.75" bottom="0.75" header="0.3" footer="0.3"/>
  <pageSetup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66A35-0BA9-4358-8E1F-3D0729DBA12F}">
  <sheetPr codeName="Sheet1"/>
  <dimension ref="A1:M63"/>
  <sheetViews>
    <sheetView showGridLines="0" zoomScale="86" zoomScaleNormal="86" workbookViewId="0">
      <selection activeCell="E36" sqref="E36"/>
    </sheetView>
  </sheetViews>
  <sheetFormatPr defaultRowHeight="14.4" x14ac:dyDescent="0.3"/>
  <cols>
    <col min="1" max="1" width="73.6640625" style="43" customWidth="1"/>
    <col min="2" max="2" width="7.44140625" style="50" customWidth="1"/>
    <col min="3" max="3" width="55.77734375" style="51" customWidth="1"/>
    <col min="4" max="4" width="7.6640625" style="51" customWidth="1"/>
    <col min="5" max="5" width="37.21875" style="51" customWidth="1"/>
    <col min="6" max="6" width="2" style="51" customWidth="1"/>
    <col min="7" max="7" width="4.77734375" style="51" customWidth="1"/>
    <col min="8" max="16384" width="8.88671875" style="43"/>
  </cols>
  <sheetData>
    <row r="1" spans="1:13" x14ac:dyDescent="0.3">
      <c r="B1" s="56"/>
      <c r="C1" s="57"/>
      <c r="D1" s="57"/>
      <c r="E1" s="57"/>
      <c r="F1" s="57"/>
      <c r="G1" s="57"/>
      <c r="H1" s="63"/>
    </row>
    <row r="2" spans="1:13" x14ac:dyDescent="0.3">
      <c r="B2" s="58"/>
      <c r="C2" s="59"/>
      <c r="D2" s="59"/>
      <c r="E2" s="59"/>
      <c r="F2" s="59"/>
      <c r="G2" s="59"/>
      <c r="H2" s="63"/>
    </row>
    <row r="3" spans="1:13" ht="56.4" customHeight="1" x14ac:dyDescent="0.3">
      <c r="A3" s="44"/>
      <c r="B3" s="58"/>
      <c r="C3" s="60"/>
      <c r="D3" s="60"/>
      <c r="E3" s="60"/>
      <c r="F3" s="60"/>
      <c r="G3" s="60"/>
      <c r="H3" s="63"/>
    </row>
    <row r="4" spans="1:13" ht="18" customHeight="1" thickBot="1" x14ac:dyDescent="0.35">
      <c r="A4" s="44"/>
      <c r="B4" s="58"/>
      <c r="C4" s="59"/>
      <c r="D4" s="59"/>
      <c r="E4" s="59"/>
      <c r="F4" s="59"/>
      <c r="G4" s="59"/>
      <c r="H4" s="63"/>
    </row>
    <row r="5" spans="1:13" s="46" customFormat="1" ht="28.2" customHeight="1" thickBot="1" x14ac:dyDescent="0.3">
      <c r="A5" s="45"/>
      <c r="B5" s="61"/>
      <c r="C5" s="108" t="s">
        <v>141</v>
      </c>
      <c r="D5" s="113"/>
      <c r="E5" s="142" t="s">
        <v>210</v>
      </c>
      <c r="F5" s="59"/>
      <c r="G5" s="116"/>
      <c r="H5" s="117"/>
    </row>
    <row r="6" spans="1:13" s="46" customFormat="1" ht="12" customHeight="1" thickBot="1" x14ac:dyDescent="0.35">
      <c r="A6" s="45"/>
      <c r="B6" s="62"/>
      <c r="C6" s="116"/>
      <c r="D6" s="116"/>
      <c r="E6" s="118"/>
      <c r="F6" s="116"/>
      <c r="G6" s="116"/>
      <c r="H6" s="117"/>
      <c r="K6" s="46" t="s">
        <v>215</v>
      </c>
    </row>
    <row r="7" spans="1:13" s="46" customFormat="1" ht="28.2" customHeight="1" thickBot="1" x14ac:dyDescent="0.35">
      <c r="A7" s="45"/>
      <c r="B7" s="61"/>
      <c r="C7" s="108" t="s">
        <v>142</v>
      </c>
      <c r="D7" s="113"/>
      <c r="E7" s="114" t="s">
        <v>144</v>
      </c>
      <c r="F7" s="115"/>
      <c r="G7" s="116"/>
      <c r="H7" s="117"/>
      <c r="M7" s="43"/>
    </row>
    <row r="8" spans="1:13" s="46" customFormat="1" ht="12" hidden="1" customHeight="1" thickBot="1" x14ac:dyDescent="0.35">
      <c r="A8" s="45"/>
      <c r="B8" s="62"/>
      <c r="C8" s="116"/>
      <c r="D8" s="116"/>
      <c r="E8" s="118"/>
      <c r="F8" s="116"/>
      <c r="G8" s="116"/>
      <c r="H8" s="117"/>
    </row>
    <row r="9" spans="1:13" s="46" customFormat="1" ht="28.2" hidden="1" customHeight="1" thickBot="1" x14ac:dyDescent="0.35">
      <c r="A9" s="45"/>
      <c r="B9" s="61"/>
      <c r="C9" s="108" t="s">
        <v>148</v>
      </c>
      <c r="D9" s="113"/>
      <c r="E9" s="114"/>
      <c r="F9" s="115"/>
      <c r="G9" s="116"/>
      <c r="H9" s="117"/>
    </row>
    <row r="10" spans="1:13" s="46" customFormat="1" ht="12" customHeight="1" thickBot="1" x14ac:dyDescent="0.35">
      <c r="A10" s="45"/>
      <c r="B10" s="62"/>
      <c r="C10" s="116"/>
      <c r="D10" s="116"/>
      <c r="E10" s="118"/>
      <c r="F10" s="116"/>
      <c r="G10" s="116"/>
      <c r="H10" s="117"/>
    </row>
    <row r="11" spans="1:13" s="46" customFormat="1" ht="28.2" customHeight="1" thickBot="1" x14ac:dyDescent="0.35">
      <c r="A11" s="45"/>
      <c r="B11" s="61"/>
      <c r="C11" s="108" t="s">
        <v>149</v>
      </c>
      <c r="D11" s="113"/>
      <c r="E11" s="114"/>
      <c r="F11" s="115"/>
      <c r="G11" s="116"/>
      <c r="H11" s="117"/>
    </row>
    <row r="12" spans="1:13" s="46" customFormat="1" ht="12" hidden="1" customHeight="1" thickBot="1" x14ac:dyDescent="0.35">
      <c r="A12" s="45"/>
      <c r="B12" s="62"/>
      <c r="C12" s="116"/>
      <c r="D12" s="116"/>
      <c r="E12" s="118"/>
      <c r="F12" s="116"/>
      <c r="G12" s="116"/>
      <c r="H12" s="117"/>
    </row>
    <row r="13" spans="1:13" s="46" customFormat="1" ht="28.2" hidden="1" customHeight="1" thickBot="1" x14ac:dyDescent="0.35">
      <c r="A13" s="45"/>
      <c r="B13" s="62"/>
      <c r="C13" s="108" t="s">
        <v>217</v>
      </c>
      <c r="D13" s="113"/>
      <c r="E13" s="119" t="str">
        <f>IFERROR(VLOOKUP(E9,'FE BB Gerak'!A3:B20,2,FALSE),"0")</f>
        <v>0</v>
      </c>
      <c r="F13" s="116"/>
      <c r="G13" s="120" t="s">
        <v>234</v>
      </c>
      <c r="H13" s="117"/>
    </row>
    <row r="14" spans="1:13" s="46" customFormat="1" ht="12" hidden="1" customHeight="1" thickBot="1" x14ac:dyDescent="0.35">
      <c r="A14" s="45"/>
      <c r="B14" s="62"/>
      <c r="C14" s="116"/>
      <c r="D14" s="116"/>
      <c r="E14" s="118"/>
      <c r="F14" s="116"/>
      <c r="G14" s="120"/>
      <c r="H14" s="117"/>
    </row>
    <row r="15" spans="1:13" s="46" customFormat="1" ht="28.2" hidden="1" customHeight="1" thickBot="1" x14ac:dyDescent="0.35">
      <c r="A15" s="45"/>
      <c r="B15" s="62"/>
      <c r="C15" s="108" t="s">
        <v>218</v>
      </c>
      <c r="D15" s="113"/>
      <c r="E15" s="119" t="str">
        <f>IFERROR(VLOOKUP(E9,'FE BB Gerak'!A3:C20,3,FALSE),"0")</f>
        <v>0</v>
      </c>
      <c r="F15" s="116"/>
      <c r="G15" s="120" t="s">
        <v>234</v>
      </c>
      <c r="H15" s="117"/>
    </row>
    <row r="16" spans="1:13" s="46" customFormat="1" ht="12" hidden="1" customHeight="1" thickBot="1" x14ac:dyDescent="0.35">
      <c r="A16" s="45"/>
      <c r="B16" s="62"/>
      <c r="C16" s="116"/>
      <c r="D16" s="116"/>
      <c r="E16" s="118"/>
      <c r="F16" s="116"/>
      <c r="G16" s="120"/>
      <c r="H16" s="117"/>
    </row>
    <row r="17" spans="1:9" s="46" customFormat="1" ht="28.2" hidden="1" customHeight="1" thickBot="1" x14ac:dyDescent="0.35">
      <c r="A17" s="45"/>
      <c r="B17" s="62"/>
      <c r="C17" s="108" t="s">
        <v>219</v>
      </c>
      <c r="D17" s="113"/>
      <c r="E17" s="119" t="str">
        <f>IFERROR(VLOOKUP(E9,'FE BB Gerak'!A3:D20,4,FALSE),"0")</f>
        <v>0</v>
      </c>
      <c r="F17" s="116"/>
      <c r="G17" s="120" t="s">
        <v>234</v>
      </c>
      <c r="H17" s="117"/>
    </row>
    <row r="18" spans="1:9" s="46" customFormat="1" ht="12" customHeight="1" thickBot="1" x14ac:dyDescent="0.35">
      <c r="A18" s="45"/>
      <c r="B18" s="62"/>
      <c r="C18" s="116"/>
      <c r="D18" s="116"/>
      <c r="E18" s="118"/>
      <c r="F18" s="116"/>
      <c r="G18" s="120"/>
      <c r="H18" s="117"/>
    </row>
    <row r="19" spans="1:9" s="46" customFormat="1" ht="28.2" customHeight="1" thickBot="1" x14ac:dyDescent="0.35">
      <c r="A19" s="45"/>
      <c r="B19" s="62"/>
      <c r="C19" s="108" t="s">
        <v>220</v>
      </c>
      <c r="D19" s="113"/>
      <c r="E19" s="119" t="str">
        <f>IFERROR(VLOOKUP(E11,'FE BB Stasioner'!A3:B48,2,FALSE),"0")</f>
        <v>0</v>
      </c>
      <c r="F19" s="116"/>
      <c r="G19" s="120" t="s">
        <v>234</v>
      </c>
      <c r="H19" s="117"/>
    </row>
    <row r="20" spans="1:9" s="46" customFormat="1" ht="12" customHeight="1" thickBot="1" x14ac:dyDescent="0.35">
      <c r="A20" s="45"/>
      <c r="B20" s="62"/>
      <c r="C20" s="116"/>
      <c r="D20" s="116"/>
      <c r="E20" s="118"/>
      <c r="F20" s="116"/>
      <c r="G20" s="120"/>
      <c r="H20" s="117"/>
    </row>
    <row r="21" spans="1:9" s="46" customFormat="1" ht="27.6" customHeight="1" thickBot="1" x14ac:dyDescent="0.35">
      <c r="A21" s="45"/>
      <c r="B21" s="62"/>
      <c r="C21" s="108" t="s">
        <v>221</v>
      </c>
      <c r="D21" s="113"/>
      <c r="E21" s="119" t="str">
        <f>IFERROR(VLOOKUP(E11,'FE BB Stasioner'!A3:C48,3,FALSE),"0")</f>
        <v>0</v>
      </c>
      <c r="F21" s="116"/>
      <c r="G21" s="120" t="s">
        <v>234</v>
      </c>
      <c r="H21" s="117"/>
    </row>
    <row r="22" spans="1:9" s="46" customFormat="1" ht="12" customHeight="1" thickBot="1" x14ac:dyDescent="0.35">
      <c r="A22" s="45"/>
      <c r="B22" s="62"/>
      <c r="C22" s="116"/>
      <c r="D22" s="116"/>
      <c r="E22" s="118"/>
      <c r="F22" s="116"/>
      <c r="G22" s="120"/>
      <c r="H22" s="117"/>
    </row>
    <row r="23" spans="1:9" s="46" customFormat="1" ht="28.2" customHeight="1" thickBot="1" x14ac:dyDescent="0.35">
      <c r="A23" s="45"/>
      <c r="B23" s="62"/>
      <c r="C23" s="108" t="s">
        <v>222</v>
      </c>
      <c r="D23" s="113"/>
      <c r="E23" s="119" t="str">
        <f>IFERROR(VLOOKUP(E11,'FE BB Stasioner'!A3:D48,4,FALSE),"0")</f>
        <v>0</v>
      </c>
      <c r="F23" s="116"/>
      <c r="G23" s="120" t="s">
        <v>234</v>
      </c>
      <c r="H23" s="117"/>
    </row>
    <row r="24" spans="1:9" s="46" customFormat="1" ht="12" customHeight="1" thickBot="1" x14ac:dyDescent="0.35">
      <c r="A24" s="45"/>
      <c r="B24" s="62"/>
      <c r="C24" s="116"/>
      <c r="D24" s="116"/>
      <c r="E24" s="118"/>
      <c r="F24" s="116"/>
      <c r="G24" s="120"/>
      <c r="H24" s="117"/>
    </row>
    <row r="25" spans="1:9" s="46" customFormat="1" ht="28.2" customHeight="1" thickBot="1" x14ac:dyDescent="0.35">
      <c r="A25" s="45"/>
      <c r="B25" s="62"/>
      <c r="C25" s="108" t="s">
        <v>196</v>
      </c>
      <c r="D25" s="113"/>
      <c r="E25" s="114" t="str">
        <f>IFERROR(IF(E7="Bergerak",VLOOKUP(E9,'Nilai Kalor_NCV kg'!A2:B52,2,FALSE),VLOOKUP('UI Bahan Bakar'!E11,'Nilai Kalor_NCV kg'!A2:B52,2,FALSE)),"0")</f>
        <v>0</v>
      </c>
      <c r="F25" s="116"/>
      <c r="G25" s="120" t="s">
        <v>235</v>
      </c>
      <c r="H25" s="117"/>
    </row>
    <row r="26" spans="1:9" s="46" customFormat="1" ht="12" customHeight="1" thickBot="1" x14ac:dyDescent="0.35">
      <c r="A26" s="45"/>
      <c r="B26" s="62"/>
      <c r="C26" s="116"/>
      <c r="D26" s="116"/>
      <c r="E26" s="118"/>
      <c r="F26" s="116"/>
      <c r="G26" s="120"/>
      <c r="H26" s="117"/>
    </row>
    <row r="27" spans="1:9" s="46" customFormat="1" ht="28.2" customHeight="1" thickBot="1" x14ac:dyDescent="0.35">
      <c r="A27" s="45"/>
      <c r="B27" s="61"/>
      <c r="C27" s="108" t="s">
        <v>197</v>
      </c>
      <c r="D27" s="113"/>
      <c r="E27" s="114" t="s">
        <v>207</v>
      </c>
      <c r="F27" s="115"/>
      <c r="G27" s="120"/>
      <c r="H27" s="117"/>
      <c r="I27" s="47"/>
    </row>
    <row r="28" spans="1:9" s="46" customFormat="1" ht="12" customHeight="1" thickBot="1" x14ac:dyDescent="0.35">
      <c r="A28" s="45"/>
      <c r="B28" s="62"/>
      <c r="C28" s="116"/>
      <c r="D28" s="116"/>
      <c r="E28" s="118"/>
      <c r="F28" s="116"/>
      <c r="G28" s="120"/>
      <c r="H28" s="117"/>
      <c r="I28" s="47"/>
    </row>
    <row r="29" spans="1:9" s="46" customFormat="1" ht="28.2" customHeight="1" thickBot="1" x14ac:dyDescent="0.35">
      <c r="A29" s="45"/>
      <c r="B29" s="61"/>
      <c r="C29" s="108" t="s">
        <v>147</v>
      </c>
      <c r="D29" s="113"/>
      <c r="E29" s="114"/>
      <c r="F29" s="115"/>
      <c r="G29" s="120" t="s">
        <v>236</v>
      </c>
      <c r="H29" s="117"/>
      <c r="I29" s="47"/>
    </row>
    <row r="30" spans="1:9" s="46" customFormat="1" ht="12" hidden="1" customHeight="1" thickBot="1" x14ac:dyDescent="0.35">
      <c r="A30" s="45"/>
      <c r="B30" s="62"/>
      <c r="C30" s="116"/>
      <c r="D30" s="116"/>
      <c r="E30" s="118"/>
      <c r="F30" s="116"/>
      <c r="G30" s="120"/>
      <c r="H30" s="117"/>
      <c r="I30" s="47"/>
    </row>
    <row r="31" spans="1:9" s="46" customFormat="1" ht="28.2" hidden="1" customHeight="1" thickBot="1" x14ac:dyDescent="0.35">
      <c r="A31" s="45"/>
      <c r="B31" s="62"/>
      <c r="C31" s="108" t="s">
        <v>198</v>
      </c>
      <c r="D31" s="113"/>
      <c r="E31" s="114" t="str">
        <f>IFERROR(IF(E7="Bergerak",VLOOKUP(E9,Density!A2:C47,2,FALSE),VLOOKUP('UI Bahan Bakar'!E11,Density!A2:C47,2,FALSE))/1000,"0")</f>
        <v>0</v>
      </c>
      <c r="F31" s="116"/>
      <c r="G31" s="120" t="s">
        <v>237</v>
      </c>
      <c r="H31" s="117"/>
      <c r="I31" s="47"/>
    </row>
    <row r="32" spans="1:9" s="46" customFormat="1" ht="12" hidden="1" customHeight="1" thickBot="1" x14ac:dyDescent="0.35">
      <c r="A32" s="45"/>
      <c r="B32" s="62"/>
      <c r="C32" s="116"/>
      <c r="D32" s="116"/>
      <c r="E32" s="118"/>
      <c r="F32" s="116"/>
      <c r="G32" s="120"/>
      <c r="H32" s="117"/>
      <c r="I32" s="47"/>
    </row>
    <row r="33" spans="1:10" s="46" customFormat="1" ht="28.2" hidden="1" customHeight="1" thickBot="1" x14ac:dyDescent="0.35">
      <c r="A33" s="45"/>
      <c r="B33" s="61"/>
      <c r="C33" s="108" t="s">
        <v>147</v>
      </c>
      <c r="D33" s="113"/>
      <c r="E33" s="114"/>
      <c r="F33" s="115"/>
      <c r="G33" s="120" t="s">
        <v>238</v>
      </c>
      <c r="H33" s="117"/>
      <c r="I33" s="47"/>
    </row>
    <row r="34" spans="1:10" s="46" customFormat="1" ht="12" hidden="1" customHeight="1" thickBot="1" x14ac:dyDescent="0.35">
      <c r="A34" s="45"/>
      <c r="B34" s="62"/>
      <c r="C34" s="116"/>
      <c r="D34" s="116"/>
      <c r="E34" s="118"/>
      <c r="F34" s="116"/>
      <c r="G34" s="120"/>
      <c r="H34" s="117"/>
      <c r="I34" s="47"/>
    </row>
    <row r="35" spans="1:10" s="46" customFormat="1" ht="28.2" hidden="1" customHeight="1" thickBot="1" x14ac:dyDescent="0.35">
      <c r="A35" s="45"/>
      <c r="B35" s="62"/>
      <c r="C35" s="108" t="s">
        <v>208</v>
      </c>
      <c r="D35" s="113"/>
      <c r="E35" s="114">
        <f>E33*E31</f>
        <v>0</v>
      </c>
      <c r="F35" s="116"/>
      <c r="G35" s="120" t="s">
        <v>236</v>
      </c>
      <c r="H35" s="117"/>
      <c r="I35" s="47"/>
    </row>
    <row r="36" spans="1:10" s="46" customFormat="1" ht="12" customHeight="1" thickBot="1" x14ac:dyDescent="0.35">
      <c r="A36" s="45"/>
      <c r="B36" s="62"/>
      <c r="C36" s="116"/>
      <c r="D36" s="116"/>
      <c r="E36" s="118"/>
      <c r="F36" s="116"/>
      <c r="G36" s="120"/>
      <c r="H36" s="117"/>
      <c r="I36" s="47"/>
      <c r="J36" s="43"/>
    </row>
    <row r="37" spans="1:10" s="46" customFormat="1" ht="28.2" customHeight="1" thickBot="1" x14ac:dyDescent="0.35">
      <c r="A37" s="45"/>
      <c r="B37" s="62"/>
      <c r="C37" s="108" t="s">
        <v>208</v>
      </c>
      <c r="D37" s="113"/>
      <c r="E37" s="114">
        <f>IFERROR(IF(E27="kilogram",E29*E25,E35*E25),"0")</f>
        <v>0</v>
      </c>
      <c r="F37" s="116"/>
      <c r="G37" s="120" t="s">
        <v>239</v>
      </c>
      <c r="H37" s="117"/>
      <c r="I37" s="47"/>
    </row>
    <row r="38" spans="1:10" s="46" customFormat="1" ht="28.2" customHeight="1" x14ac:dyDescent="0.3">
      <c r="A38" s="45"/>
      <c r="B38" s="62"/>
      <c r="C38" s="116"/>
      <c r="D38" s="116"/>
      <c r="E38" s="121"/>
      <c r="F38" s="116"/>
      <c r="G38" s="120"/>
      <c r="H38" s="117"/>
      <c r="I38" s="47"/>
    </row>
    <row r="39" spans="1:10" s="46" customFormat="1" ht="28.2" customHeight="1" x14ac:dyDescent="0.3">
      <c r="A39" s="45"/>
      <c r="B39" s="62"/>
      <c r="C39" s="116"/>
      <c r="D39" s="116"/>
      <c r="E39" s="121"/>
      <c r="F39" s="116"/>
      <c r="G39" s="120"/>
      <c r="H39" s="117"/>
    </row>
    <row r="40" spans="1:10" s="46" customFormat="1" ht="28.2" customHeight="1" x14ac:dyDescent="0.3">
      <c r="A40" s="45"/>
      <c r="B40" s="62"/>
      <c r="C40" s="116"/>
      <c r="D40" s="116"/>
      <c r="E40" s="121"/>
      <c r="F40" s="116"/>
      <c r="G40" s="120"/>
      <c r="H40" s="117"/>
    </row>
    <row r="41" spans="1:10" s="46" customFormat="1" ht="28.2" customHeight="1" x14ac:dyDescent="0.3">
      <c r="A41" s="45"/>
      <c r="B41" s="62"/>
      <c r="C41" s="116"/>
      <c r="D41" s="116"/>
      <c r="E41" s="121"/>
      <c r="F41" s="116"/>
      <c r="G41" s="120"/>
      <c r="H41" s="117"/>
    </row>
    <row r="42" spans="1:10" s="46" customFormat="1" ht="15.6" customHeight="1" x14ac:dyDescent="0.3">
      <c r="A42" s="45"/>
      <c r="B42" s="62"/>
      <c r="C42" s="116"/>
      <c r="D42" s="116"/>
      <c r="E42" s="121"/>
      <c r="F42" s="116"/>
      <c r="G42" s="120"/>
      <c r="H42" s="117"/>
    </row>
    <row r="43" spans="1:10" s="46" customFormat="1" ht="14.4" customHeight="1" x14ac:dyDescent="0.3">
      <c r="A43" s="45"/>
      <c r="B43" s="62"/>
      <c r="C43" s="116"/>
      <c r="D43" s="116"/>
      <c r="E43" s="121"/>
      <c r="F43" s="116"/>
      <c r="G43" s="120"/>
      <c r="H43" s="117"/>
    </row>
    <row r="44" spans="1:10" s="46" customFormat="1" ht="28.2" customHeight="1" x14ac:dyDescent="0.3">
      <c r="A44" s="45"/>
      <c r="B44" s="62"/>
      <c r="C44" s="108" t="s">
        <v>146</v>
      </c>
      <c r="D44" s="116"/>
      <c r="E44" s="121"/>
      <c r="F44" s="116"/>
      <c r="G44" s="120"/>
      <c r="H44" s="117"/>
    </row>
    <row r="45" spans="1:10" s="46" customFormat="1" ht="12" customHeight="1" thickBot="1" x14ac:dyDescent="0.35">
      <c r="A45" s="45"/>
      <c r="B45" s="62"/>
      <c r="C45" s="116"/>
      <c r="D45" s="116"/>
      <c r="E45" s="121"/>
      <c r="F45" s="116"/>
      <c r="G45" s="120"/>
      <c r="H45" s="117"/>
    </row>
    <row r="46" spans="1:10" s="46" customFormat="1" ht="28.2" customHeight="1" thickBot="1" x14ac:dyDescent="0.35">
      <c r="A46" s="45"/>
      <c r="B46" s="62"/>
      <c r="C46" s="108" t="s">
        <v>223</v>
      </c>
      <c r="D46" s="113"/>
      <c r="E46" s="122"/>
      <c r="F46" s="116"/>
      <c r="G46" s="120" t="s">
        <v>224</v>
      </c>
      <c r="H46" s="117"/>
    </row>
    <row r="47" spans="1:10" s="46" customFormat="1" ht="28.2" customHeight="1" thickBot="1" x14ac:dyDescent="0.35">
      <c r="A47" s="45"/>
      <c r="B47" s="62"/>
      <c r="C47" s="116"/>
      <c r="D47" s="113"/>
      <c r="E47" s="123"/>
      <c r="F47" s="116"/>
      <c r="G47" s="120" t="s">
        <v>225</v>
      </c>
      <c r="H47" s="117"/>
    </row>
    <row r="48" spans="1:10" s="46" customFormat="1" ht="28.2" customHeight="1" thickBot="1" x14ac:dyDescent="0.35">
      <c r="A48" s="45"/>
      <c r="B48" s="62"/>
      <c r="C48" s="116"/>
      <c r="D48" s="116"/>
      <c r="E48" s="124"/>
      <c r="F48" s="116"/>
      <c r="G48" s="120"/>
      <c r="H48" s="117"/>
    </row>
    <row r="49" spans="1:10" s="46" customFormat="1" ht="28.2" customHeight="1" thickBot="1" x14ac:dyDescent="0.35">
      <c r="A49" s="45"/>
      <c r="B49" s="62"/>
      <c r="C49" s="108" t="s">
        <v>226</v>
      </c>
      <c r="D49" s="113"/>
      <c r="E49" s="122"/>
      <c r="F49" s="116"/>
      <c r="G49" s="120" t="s">
        <v>227</v>
      </c>
      <c r="H49" s="117"/>
      <c r="J49" s="43"/>
    </row>
    <row r="50" spans="1:10" s="46" customFormat="1" ht="28.2" customHeight="1" thickBot="1" x14ac:dyDescent="0.35">
      <c r="A50" s="45"/>
      <c r="B50" s="62"/>
      <c r="C50" s="116"/>
      <c r="D50" s="113"/>
      <c r="E50" s="123"/>
      <c r="F50" s="116"/>
      <c r="G50" s="120" t="s">
        <v>225</v>
      </c>
      <c r="H50" s="117"/>
    </row>
    <row r="51" spans="1:10" s="46" customFormat="1" ht="28.2" customHeight="1" thickBot="1" x14ac:dyDescent="0.35">
      <c r="A51" s="45"/>
      <c r="B51" s="62"/>
      <c r="C51" s="116"/>
      <c r="D51" s="116"/>
      <c r="E51" s="124"/>
      <c r="F51" s="116"/>
      <c r="G51" s="120"/>
      <c r="H51" s="117"/>
    </row>
    <row r="52" spans="1:10" s="46" customFormat="1" ht="28.2" customHeight="1" thickBot="1" x14ac:dyDescent="0.35">
      <c r="A52" s="45"/>
      <c r="B52" s="62"/>
      <c r="C52" s="108" t="s">
        <v>228</v>
      </c>
      <c r="D52" s="113"/>
      <c r="E52" s="122"/>
      <c r="F52" s="116"/>
      <c r="G52" s="120" t="s">
        <v>229</v>
      </c>
      <c r="H52" s="117"/>
    </row>
    <row r="53" spans="1:10" s="46" customFormat="1" ht="28.2" customHeight="1" thickBot="1" x14ac:dyDescent="0.35">
      <c r="A53" s="45"/>
      <c r="B53" s="62"/>
      <c r="C53" s="116"/>
      <c r="D53" s="113"/>
      <c r="E53" s="123"/>
      <c r="F53" s="116"/>
      <c r="G53" s="120" t="s">
        <v>225</v>
      </c>
      <c r="H53" s="117"/>
    </row>
    <row r="54" spans="1:10" s="46" customFormat="1" ht="28.2" customHeight="1" thickBot="1" x14ac:dyDescent="0.35">
      <c r="A54" s="45"/>
      <c r="B54" s="62"/>
      <c r="C54" s="116"/>
      <c r="D54" s="116"/>
      <c r="E54" s="124"/>
      <c r="F54" s="116"/>
      <c r="G54" s="120"/>
      <c r="H54" s="117"/>
    </row>
    <row r="55" spans="1:10" s="46" customFormat="1" ht="28.2" customHeight="1" thickBot="1" x14ac:dyDescent="0.35">
      <c r="A55" s="45"/>
      <c r="B55" s="62"/>
      <c r="C55" s="108" t="s">
        <v>230</v>
      </c>
      <c r="D55" s="113"/>
      <c r="E55" s="125"/>
      <c r="F55" s="116"/>
      <c r="G55" s="120" t="s">
        <v>225</v>
      </c>
      <c r="H55" s="117"/>
    </row>
    <row r="56" spans="1:10" s="46" customFormat="1" ht="18" customHeight="1" x14ac:dyDescent="0.3">
      <c r="A56" s="45"/>
      <c r="B56" s="62"/>
      <c r="C56" s="126"/>
      <c r="D56" s="126"/>
      <c r="E56" s="126"/>
      <c r="F56" s="126"/>
      <c r="G56" s="126"/>
      <c r="H56" s="117"/>
    </row>
    <row r="57" spans="1:10" s="46" customFormat="1" ht="18" customHeight="1" x14ac:dyDescent="0.3">
      <c r="A57" s="45"/>
      <c r="B57" s="62"/>
      <c r="C57" s="126"/>
      <c r="D57" s="126"/>
      <c r="E57" s="126"/>
      <c r="F57" s="127"/>
      <c r="G57" s="127"/>
      <c r="H57" s="117"/>
    </row>
    <row r="58" spans="1:10" s="46" customFormat="1" ht="18" customHeight="1" x14ac:dyDescent="0.3">
      <c r="A58" s="45"/>
      <c r="B58" s="62"/>
      <c r="C58" s="126"/>
      <c r="D58" s="126"/>
      <c r="E58" s="126"/>
      <c r="F58" s="127"/>
      <c r="G58" s="127"/>
      <c r="H58" s="117"/>
    </row>
    <row r="59" spans="1:10" s="46" customFormat="1" ht="18" customHeight="1" x14ac:dyDescent="0.3">
      <c r="A59" s="45"/>
      <c r="B59" s="62"/>
      <c r="C59" s="126"/>
      <c r="D59" s="126"/>
      <c r="E59" s="126"/>
      <c r="F59" s="126"/>
      <c r="G59" s="126"/>
      <c r="H59" s="117"/>
    </row>
    <row r="60" spans="1:10" s="46" customFormat="1" ht="18" customHeight="1" x14ac:dyDescent="0.3">
      <c r="A60" s="45"/>
      <c r="B60" s="62"/>
      <c r="C60" s="126"/>
      <c r="D60" s="126"/>
      <c r="E60" s="126"/>
      <c r="F60" s="126"/>
      <c r="G60" s="126"/>
      <c r="H60" s="117"/>
    </row>
    <row r="61" spans="1:10" ht="10.8" customHeight="1" x14ac:dyDescent="0.3">
      <c r="A61" s="44"/>
      <c r="B61" s="58"/>
      <c r="C61" s="128"/>
      <c r="D61" s="128"/>
      <c r="E61" s="128"/>
      <c r="F61" s="128"/>
      <c r="G61" s="128"/>
      <c r="H61" s="129"/>
      <c r="I61" s="46"/>
      <c r="J61" s="46"/>
    </row>
    <row r="62" spans="1:10" x14ac:dyDescent="0.3">
      <c r="B62" s="48"/>
      <c r="C62" s="49"/>
      <c r="D62" s="49"/>
      <c r="E62" s="49"/>
      <c r="F62" s="49"/>
      <c r="G62" s="49"/>
    </row>
    <row r="63" spans="1:10" x14ac:dyDescent="0.3">
      <c r="B63" s="48"/>
      <c r="C63" s="49"/>
      <c r="D63" s="49"/>
      <c r="E63" s="49"/>
      <c r="F63" s="49"/>
      <c r="G63" s="49"/>
    </row>
  </sheetData>
  <sheetProtection algorithmName="SHA-512" hashValue="QtdKxnELnVxyz9SyjV6fYjwJ44bpZg2ffQEfOTFUj45Fv1iSugr6tIGzGX/RfCjDp7ZJLDhRFFiOQ8aBOx5++Q==" saltValue="9zlalEkDUXsMYYuwadQuvg==" spinCount="100000" sheet="1" objects="1" scenarios="1" formatCells="0" formatColumns="0" formatRows="0"/>
  <dataValidations count="2">
    <dataValidation type="list" allowBlank="1" showInputMessage="1" sqref="E9" xr:uid="{776309EB-9309-4757-975A-B90A1706B69D}">
      <formula1>ListBBMBergerak</formula1>
    </dataValidation>
    <dataValidation type="list" allowBlank="1" showInputMessage="1" sqref="E11" xr:uid="{7EDCA32B-D477-4835-8E70-D05BFC55A099}">
      <formula1>ListBBMStasioner</formula1>
    </dataValidation>
  </dataValidations>
  <pageMargins left="0.7" right="0.7" top="0.75" bottom="0.75" header="0.3" footer="0.3"/>
  <pageSetup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42EA9EC-5B97-4D52-9CC5-6A32043A946F}">
          <x14:formula1>
            <xm:f>'List Kota'!$A$7:$A$8</xm:f>
          </x14:formula1>
          <xm:sqref>E7</xm:sqref>
        </x14:dataValidation>
        <x14:dataValidation type="list" allowBlank="1" showInputMessage="1" showErrorMessage="1" xr:uid="{DC16FC36-DF12-424D-821D-A5D0690D495A}">
          <x14:formula1>
            <xm:f>'List Kota'!$A$10:$A$11</xm:f>
          </x14:formula1>
          <xm:sqref>E27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98307-A212-494D-B7FD-6FED7046FE1D}">
  <sheetPr codeName="Sheet11"/>
  <dimension ref="A1:J61"/>
  <sheetViews>
    <sheetView showGridLines="0" zoomScale="86" zoomScaleNormal="86" workbookViewId="0">
      <selection activeCell="E8" sqref="E8"/>
    </sheetView>
  </sheetViews>
  <sheetFormatPr defaultRowHeight="14.4" x14ac:dyDescent="0.3"/>
  <cols>
    <col min="1" max="1" width="73.5546875" customWidth="1"/>
    <col min="2" max="2" width="7.44140625" style="21" customWidth="1"/>
    <col min="3" max="3" width="55.77734375" style="36" customWidth="1"/>
    <col min="4" max="4" width="7.5546875" style="37" customWidth="1"/>
    <col min="5" max="5" width="37.5546875" style="36" customWidth="1"/>
    <col min="6" max="6" width="1.88671875" style="37" customWidth="1"/>
    <col min="7" max="7" width="4.77734375" style="39" customWidth="1"/>
  </cols>
  <sheetData>
    <row r="1" spans="1:8" x14ac:dyDescent="0.3">
      <c r="A1" s="24"/>
      <c r="B1" s="71"/>
      <c r="C1" s="64"/>
      <c r="D1" s="65"/>
      <c r="E1" s="64"/>
      <c r="F1" s="65"/>
      <c r="G1" s="66"/>
      <c r="H1" s="67"/>
    </row>
    <row r="2" spans="1:8" x14ac:dyDescent="0.3">
      <c r="A2" s="24"/>
      <c r="B2" s="71"/>
      <c r="C2" s="64"/>
      <c r="D2" s="65"/>
      <c r="E2" s="64"/>
      <c r="F2" s="65"/>
      <c r="G2" s="66"/>
      <c r="H2" s="67"/>
    </row>
    <row r="3" spans="1:8" ht="56.4" customHeight="1" x14ac:dyDescent="0.3">
      <c r="A3" s="24"/>
      <c r="B3" s="71"/>
      <c r="C3" s="68"/>
      <c r="D3" s="69"/>
      <c r="E3" s="68"/>
      <c r="F3" s="69"/>
      <c r="G3" s="70"/>
      <c r="H3" s="67"/>
    </row>
    <row r="4" spans="1:8" ht="18" customHeight="1" thickBot="1" x14ac:dyDescent="0.35">
      <c r="A4" s="24"/>
      <c r="B4" s="71"/>
      <c r="C4" s="64"/>
      <c r="D4" s="65"/>
      <c r="E4" s="64"/>
      <c r="F4" s="65"/>
      <c r="G4" s="66"/>
      <c r="H4" s="67"/>
    </row>
    <row r="5" spans="1:8" s="33" customFormat="1" ht="27.6" customHeight="1" thickBot="1" x14ac:dyDescent="0.35">
      <c r="A5" s="32"/>
      <c r="B5" s="100"/>
      <c r="C5" s="101" t="s">
        <v>141</v>
      </c>
      <c r="D5" s="102"/>
      <c r="E5" s="140" t="s">
        <v>211</v>
      </c>
      <c r="F5" s="65"/>
      <c r="G5" s="72"/>
      <c r="H5" s="73"/>
    </row>
    <row r="6" spans="1:8" s="33" customFormat="1" ht="11.4" customHeight="1" thickBot="1" x14ac:dyDescent="0.35">
      <c r="A6" s="32"/>
      <c r="B6" s="100"/>
      <c r="C6" s="104"/>
      <c r="D6" s="105"/>
      <c r="E6" s="106"/>
      <c r="F6" s="76"/>
      <c r="G6" s="72"/>
      <c r="H6" s="73"/>
    </row>
    <row r="7" spans="1:8" s="33" customFormat="1" ht="27.6" customHeight="1" thickBot="1" x14ac:dyDescent="0.35">
      <c r="A7" s="32"/>
      <c r="B7" s="100"/>
      <c r="C7" s="107" t="s">
        <v>142</v>
      </c>
      <c r="D7" s="102"/>
      <c r="E7" s="140" t="s">
        <v>144</v>
      </c>
      <c r="F7" s="65"/>
      <c r="G7" s="72"/>
      <c r="H7" s="73"/>
    </row>
    <row r="8" spans="1:8" s="33" customFormat="1" ht="11.4" customHeight="1" thickBot="1" x14ac:dyDescent="0.35">
      <c r="A8" s="32"/>
      <c r="B8" s="100"/>
      <c r="C8" s="104"/>
      <c r="D8" s="105"/>
      <c r="E8" s="106"/>
      <c r="F8" s="76"/>
      <c r="G8" s="72"/>
      <c r="H8" s="73"/>
    </row>
    <row r="9" spans="1:8" s="33" customFormat="1" ht="27.6" customHeight="1" thickBot="1" x14ac:dyDescent="0.35">
      <c r="A9" s="32"/>
      <c r="B9" s="100"/>
      <c r="C9" s="108" t="s">
        <v>214</v>
      </c>
      <c r="D9" s="102"/>
      <c r="E9" s="103"/>
      <c r="F9" s="52"/>
      <c r="G9" s="72"/>
      <c r="H9" s="73"/>
    </row>
    <row r="10" spans="1:8" s="33" customFormat="1" ht="11.4" customHeight="1" thickBot="1" x14ac:dyDescent="0.35">
      <c r="A10" s="32"/>
      <c r="B10" s="100"/>
      <c r="C10" s="104"/>
      <c r="D10" s="105"/>
      <c r="E10" s="106"/>
      <c r="F10" s="76"/>
      <c r="G10" s="72"/>
      <c r="H10" s="73"/>
    </row>
    <row r="11" spans="1:8" s="33" customFormat="1" ht="27.6" customHeight="1" thickBot="1" x14ac:dyDescent="0.35">
      <c r="A11" s="32"/>
      <c r="B11" s="100"/>
      <c r="C11" s="107" t="s">
        <v>220</v>
      </c>
      <c r="D11" s="102"/>
      <c r="E11" s="109" t="str">
        <f>IFERROR(VLOOKUP($E$9,'FE BB Stasioner'!$A$49:$B$53,2,FALSE),"0")</f>
        <v>0</v>
      </c>
      <c r="F11" s="76"/>
      <c r="G11" s="72" t="s">
        <v>234</v>
      </c>
      <c r="H11" s="73"/>
    </row>
    <row r="12" spans="1:8" s="33" customFormat="1" ht="11.4" customHeight="1" thickBot="1" x14ac:dyDescent="0.35">
      <c r="A12" s="32"/>
      <c r="B12" s="100"/>
      <c r="C12" s="104"/>
      <c r="D12" s="105"/>
      <c r="E12" s="106"/>
      <c r="F12" s="76"/>
      <c r="G12" s="72"/>
      <c r="H12" s="73"/>
    </row>
    <row r="13" spans="1:8" s="33" customFormat="1" ht="27.6" customHeight="1" thickBot="1" x14ac:dyDescent="0.35">
      <c r="A13" s="32"/>
      <c r="B13" s="100"/>
      <c r="C13" s="107" t="s">
        <v>221</v>
      </c>
      <c r="D13" s="102"/>
      <c r="E13" s="103" t="str">
        <f>IFERROR(VLOOKUP($E$9,'FE BB Stasioner'!$A$49:$C$53,3,FALSE),"0")</f>
        <v>0</v>
      </c>
      <c r="F13" s="76"/>
      <c r="G13" s="72" t="s">
        <v>234</v>
      </c>
      <c r="H13" s="73"/>
    </row>
    <row r="14" spans="1:8" s="33" customFormat="1" ht="11.4" customHeight="1" thickBot="1" x14ac:dyDescent="0.35">
      <c r="A14" s="32"/>
      <c r="B14" s="100"/>
      <c r="C14" s="104"/>
      <c r="D14" s="105"/>
      <c r="E14" s="106"/>
      <c r="F14" s="76"/>
      <c r="G14" s="72"/>
      <c r="H14" s="73"/>
    </row>
    <row r="15" spans="1:8" s="33" customFormat="1" ht="27.6" customHeight="1" thickBot="1" x14ac:dyDescent="0.35">
      <c r="A15" s="32"/>
      <c r="B15" s="100"/>
      <c r="C15" s="107" t="s">
        <v>222</v>
      </c>
      <c r="D15" s="102"/>
      <c r="E15" s="103" t="str">
        <f>IFERROR(VLOOKUP(E9,'FE BB Stasioner'!A49:D53,4,FALSE),"0")</f>
        <v>0</v>
      </c>
      <c r="F15" s="76"/>
      <c r="G15" s="72" t="s">
        <v>234</v>
      </c>
      <c r="H15" s="73"/>
    </row>
    <row r="16" spans="1:8" s="33" customFormat="1" ht="11.4" customHeight="1" thickBot="1" x14ac:dyDescent="0.35">
      <c r="A16" s="32"/>
      <c r="B16" s="100"/>
      <c r="C16" s="104"/>
      <c r="D16" s="105"/>
      <c r="E16" s="106"/>
      <c r="F16" s="76"/>
      <c r="G16" s="72"/>
      <c r="H16" s="73"/>
    </row>
    <row r="17" spans="1:8" s="33" customFormat="1" ht="27.6" customHeight="1" thickBot="1" x14ac:dyDescent="0.35">
      <c r="A17" s="32"/>
      <c r="B17" s="100"/>
      <c r="C17" s="107" t="s">
        <v>196</v>
      </c>
      <c r="D17" s="102"/>
      <c r="E17" s="103" t="str">
        <f>IFERROR(VLOOKUP($E$9,'Nilai Kalor_NCV kg'!A$48:B$52,2,FALSE),"0")</f>
        <v>0</v>
      </c>
      <c r="F17" s="76"/>
      <c r="G17" s="72" t="s">
        <v>235</v>
      </c>
      <c r="H17" s="73"/>
    </row>
    <row r="18" spans="1:8" s="33" customFormat="1" ht="11.4" customHeight="1" thickBot="1" x14ac:dyDescent="0.35">
      <c r="A18" s="32"/>
      <c r="B18" s="100"/>
      <c r="C18" s="104"/>
      <c r="D18" s="105"/>
      <c r="E18" s="106"/>
      <c r="F18" s="76"/>
      <c r="G18" s="72"/>
      <c r="H18" s="73"/>
    </row>
    <row r="19" spans="1:8" s="33" customFormat="1" ht="27.6" customHeight="1" thickBot="1" x14ac:dyDescent="0.35">
      <c r="A19" s="32"/>
      <c r="B19" s="100"/>
      <c r="C19" s="107" t="s">
        <v>197</v>
      </c>
      <c r="D19" s="102"/>
      <c r="E19" s="103" t="s">
        <v>207</v>
      </c>
      <c r="F19" s="52"/>
      <c r="G19" s="72"/>
      <c r="H19" s="73"/>
    </row>
    <row r="20" spans="1:8" s="33" customFormat="1" ht="11.4" hidden="1" customHeight="1" thickBot="1" x14ac:dyDescent="0.35">
      <c r="A20" s="32"/>
      <c r="B20" s="100"/>
      <c r="C20" s="104"/>
      <c r="D20" s="105"/>
      <c r="E20" s="106"/>
      <c r="F20" s="76"/>
      <c r="G20" s="72"/>
      <c r="H20" s="73"/>
    </row>
    <row r="21" spans="1:8" s="33" customFormat="1" ht="27.6" hidden="1" customHeight="1" thickBot="1" x14ac:dyDescent="0.35">
      <c r="A21" s="32"/>
      <c r="B21" s="100"/>
      <c r="C21" s="107" t="s">
        <v>147</v>
      </c>
      <c r="D21" s="102"/>
      <c r="E21" s="103"/>
      <c r="F21" s="52"/>
      <c r="G21" s="72" t="s">
        <v>238</v>
      </c>
      <c r="H21" s="73"/>
    </row>
    <row r="22" spans="1:8" s="33" customFormat="1" ht="11.4" hidden="1" customHeight="1" thickBot="1" x14ac:dyDescent="0.35">
      <c r="A22" s="32"/>
      <c r="B22" s="100"/>
      <c r="C22" s="104"/>
      <c r="D22" s="105"/>
      <c r="E22" s="106"/>
      <c r="F22" s="76"/>
      <c r="G22" s="72"/>
      <c r="H22" s="73"/>
    </row>
    <row r="23" spans="1:8" s="33" customFormat="1" ht="27.6" hidden="1" customHeight="1" thickBot="1" x14ac:dyDescent="0.35">
      <c r="A23" s="32"/>
      <c r="B23" s="100"/>
      <c r="C23" s="107" t="s">
        <v>198</v>
      </c>
      <c r="D23" s="102"/>
      <c r="E23" s="103" t="str">
        <f>IFERROR((VLOOKUP(E9,Density!A50:C54,2,FALSE)/1000),"0")</f>
        <v>0</v>
      </c>
      <c r="F23" s="76"/>
      <c r="G23" s="72" t="s">
        <v>237</v>
      </c>
      <c r="H23" s="73"/>
    </row>
    <row r="24" spans="1:8" s="33" customFormat="1" ht="11.4" hidden="1" customHeight="1" thickBot="1" x14ac:dyDescent="0.35">
      <c r="A24" s="32"/>
      <c r="B24" s="100"/>
      <c r="C24" s="104"/>
      <c r="D24" s="105"/>
      <c r="E24" s="106"/>
      <c r="F24" s="76"/>
      <c r="G24" s="72"/>
      <c r="H24" s="73"/>
    </row>
    <row r="25" spans="1:8" s="33" customFormat="1" ht="27.6" hidden="1" customHeight="1" thickBot="1" x14ac:dyDescent="0.35">
      <c r="A25" s="32"/>
      <c r="B25" s="100"/>
      <c r="C25" s="107" t="s">
        <v>208</v>
      </c>
      <c r="D25" s="102"/>
      <c r="E25" s="103">
        <f>E23*E21</f>
        <v>0</v>
      </c>
      <c r="F25" s="76"/>
      <c r="G25" s="72" t="s">
        <v>236</v>
      </c>
      <c r="H25" s="73"/>
    </row>
    <row r="26" spans="1:8" s="33" customFormat="1" ht="11.4" customHeight="1" thickBot="1" x14ac:dyDescent="0.35">
      <c r="A26" s="32"/>
      <c r="B26" s="100"/>
      <c r="C26" s="104"/>
      <c r="D26" s="105"/>
      <c r="E26" s="106"/>
      <c r="F26" s="76"/>
      <c r="G26" s="72"/>
      <c r="H26" s="73"/>
    </row>
    <row r="27" spans="1:8" s="33" customFormat="1" ht="27.6" customHeight="1" thickBot="1" x14ac:dyDescent="0.35">
      <c r="A27" s="32"/>
      <c r="B27" s="100"/>
      <c r="C27" s="107" t="s">
        <v>147</v>
      </c>
      <c r="D27" s="102"/>
      <c r="E27" s="103"/>
      <c r="F27" s="52"/>
      <c r="G27" s="72" t="s">
        <v>236</v>
      </c>
      <c r="H27" s="73"/>
    </row>
    <row r="28" spans="1:8" s="33" customFormat="1" ht="11.4" hidden="1" customHeight="1" thickBot="1" x14ac:dyDescent="0.35">
      <c r="A28" s="32"/>
      <c r="B28" s="100"/>
      <c r="C28" s="104"/>
      <c r="D28" s="105"/>
      <c r="E28" s="106"/>
      <c r="F28" s="76"/>
      <c r="G28" s="72"/>
      <c r="H28" s="73"/>
    </row>
    <row r="29" spans="1:8" s="33" customFormat="1" ht="27.6" hidden="1" customHeight="1" thickBot="1" x14ac:dyDescent="0.35">
      <c r="A29" s="32"/>
      <c r="B29" s="100"/>
      <c r="C29" s="107" t="s">
        <v>208</v>
      </c>
      <c r="D29" s="102"/>
      <c r="E29" s="103">
        <f>E25*E17</f>
        <v>0</v>
      </c>
      <c r="F29" s="76"/>
      <c r="G29" s="72" t="s">
        <v>239</v>
      </c>
      <c r="H29" s="73"/>
    </row>
    <row r="30" spans="1:8" s="33" customFormat="1" ht="11.4" customHeight="1" thickBot="1" x14ac:dyDescent="0.35">
      <c r="A30" s="32"/>
      <c r="B30" s="100"/>
      <c r="C30" s="104"/>
      <c r="D30" s="105"/>
      <c r="E30" s="106"/>
      <c r="F30" s="76"/>
      <c r="G30" s="72"/>
      <c r="H30" s="73"/>
    </row>
    <row r="31" spans="1:8" s="33" customFormat="1" ht="27.6" customHeight="1" thickBot="1" x14ac:dyDescent="0.35">
      <c r="A31" s="32"/>
      <c r="B31" s="100"/>
      <c r="C31" s="107" t="s">
        <v>208</v>
      </c>
      <c r="D31" s="102"/>
      <c r="E31" s="103">
        <f>E27*E17</f>
        <v>0</v>
      </c>
      <c r="F31" s="76"/>
      <c r="G31" s="72" t="s">
        <v>239</v>
      </c>
      <c r="H31" s="73"/>
    </row>
    <row r="32" spans="1:8" s="33" customFormat="1" ht="22.2" customHeight="1" x14ac:dyDescent="0.3">
      <c r="A32" s="32"/>
      <c r="B32" s="100"/>
      <c r="C32" s="104"/>
      <c r="D32" s="105"/>
      <c r="E32" s="104"/>
      <c r="F32" s="76"/>
      <c r="G32" s="72"/>
      <c r="H32" s="73"/>
    </row>
    <row r="33" spans="1:8" s="33" customFormat="1" ht="22.2" customHeight="1" x14ac:dyDescent="0.3">
      <c r="A33" s="32"/>
      <c r="B33" s="100"/>
      <c r="C33" s="104"/>
      <c r="D33" s="105"/>
      <c r="E33" s="104"/>
      <c r="F33" s="76"/>
      <c r="G33" s="72"/>
      <c r="H33" s="73"/>
    </row>
    <row r="34" spans="1:8" s="33" customFormat="1" ht="22.2" customHeight="1" x14ac:dyDescent="0.3">
      <c r="A34" s="32"/>
      <c r="B34" s="100"/>
      <c r="C34" s="104"/>
      <c r="D34" s="105"/>
      <c r="E34" s="104"/>
      <c r="F34" s="76"/>
      <c r="G34" s="72"/>
      <c r="H34" s="73"/>
    </row>
    <row r="35" spans="1:8" s="33" customFormat="1" ht="22.2" customHeight="1" x14ac:dyDescent="0.3">
      <c r="A35" s="32"/>
      <c r="B35" s="100"/>
      <c r="C35" s="104"/>
      <c r="D35" s="105"/>
      <c r="E35" s="104"/>
      <c r="F35" s="76"/>
      <c r="G35" s="72"/>
      <c r="H35" s="73"/>
    </row>
    <row r="36" spans="1:8" s="33" customFormat="1" ht="22.2" customHeight="1" x14ac:dyDescent="0.3">
      <c r="A36" s="32"/>
      <c r="B36" s="100"/>
      <c r="C36" s="104"/>
      <c r="D36" s="105"/>
      <c r="E36" s="104"/>
      <c r="F36" s="76"/>
      <c r="G36" s="72"/>
      <c r="H36" s="73"/>
    </row>
    <row r="37" spans="1:8" s="33" customFormat="1" ht="22.2" customHeight="1" x14ac:dyDescent="0.3">
      <c r="A37" s="32"/>
      <c r="B37" s="100"/>
      <c r="C37" s="104"/>
      <c r="D37" s="105"/>
      <c r="E37" s="104"/>
      <c r="F37" s="76"/>
      <c r="G37" s="72"/>
      <c r="H37" s="73"/>
    </row>
    <row r="38" spans="1:8" s="33" customFormat="1" ht="27.6" customHeight="1" x14ac:dyDescent="0.3">
      <c r="A38" s="32"/>
      <c r="B38" s="100"/>
      <c r="C38" s="107" t="s">
        <v>146</v>
      </c>
      <c r="D38" s="105"/>
      <c r="E38" s="104"/>
      <c r="F38" s="76"/>
      <c r="G38" s="72"/>
      <c r="H38" s="73"/>
    </row>
    <row r="39" spans="1:8" s="33" customFormat="1" ht="27.6" customHeight="1" thickBot="1" x14ac:dyDescent="0.35">
      <c r="A39" s="32"/>
      <c r="B39" s="100"/>
      <c r="C39" s="104"/>
      <c r="D39" s="105"/>
      <c r="E39" s="104"/>
      <c r="F39" s="76"/>
      <c r="G39" s="72"/>
      <c r="H39" s="73"/>
    </row>
    <row r="40" spans="1:8" s="33" customFormat="1" ht="27.6" customHeight="1" thickBot="1" x14ac:dyDescent="0.35">
      <c r="A40" s="32"/>
      <c r="B40" s="100"/>
      <c r="C40" s="107" t="s">
        <v>223</v>
      </c>
      <c r="D40" s="102"/>
      <c r="E40" s="110"/>
      <c r="F40" s="76"/>
      <c r="G40" s="72" t="s">
        <v>224</v>
      </c>
      <c r="H40" s="73"/>
    </row>
    <row r="41" spans="1:8" s="33" customFormat="1" ht="27.6" customHeight="1" thickBot="1" x14ac:dyDescent="0.35">
      <c r="A41" s="32"/>
      <c r="B41" s="100"/>
      <c r="C41" s="104"/>
      <c r="D41" s="102"/>
      <c r="E41" s="111"/>
      <c r="F41" s="76"/>
      <c r="G41" s="72" t="s">
        <v>225</v>
      </c>
      <c r="H41" s="73"/>
    </row>
    <row r="42" spans="1:8" s="33" customFormat="1" ht="27.6" customHeight="1" thickBot="1" x14ac:dyDescent="0.35">
      <c r="A42" s="32"/>
      <c r="B42" s="100"/>
      <c r="C42" s="104"/>
      <c r="D42" s="105"/>
      <c r="E42" s="104"/>
      <c r="F42" s="76"/>
      <c r="G42" s="72"/>
      <c r="H42" s="73"/>
    </row>
    <row r="43" spans="1:8" s="33" customFormat="1" ht="27.6" customHeight="1" thickBot="1" x14ac:dyDescent="0.35">
      <c r="A43" s="32"/>
      <c r="B43" s="100"/>
      <c r="C43" s="107" t="s">
        <v>226</v>
      </c>
      <c r="D43" s="102"/>
      <c r="E43" s="110"/>
      <c r="F43" s="76"/>
      <c r="G43" s="72" t="s">
        <v>227</v>
      </c>
      <c r="H43" s="73"/>
    </row>
    <row r="44" spans="1:8" s="33" customFormat="1" ht="27.6" customHeight="1" thickBot="1" x14ac:dyDescent="0.35">
      <c r="A44" s="32"/>
      <c r="B44" s="100"/>
      <c r="C44" s="104"/>
      <c r="D44" s="102"/>
      <c r="E44" s="111"/>
      <c r="F44" s="76"/>
      <c r="G44" s="72" t="s">
        <v>225</v>
      </c>
      <c r="H44" s="73"/>
    </row>
    <row r="45" spans="1:8" s="33" customFormat="1" ht="27.6" customHeight="1" thickBot="1" x14ac:dyDescent="0.35">
      <c r="A45" s="32"/>
      <c r="B45" s="100"/>
      <c r="C45" s="104"/>
      <c r="D45" s="105"/>
      <c r="E45" s="104"/>
      <c r="F45" s="76"/>
      <c r="G45" s="72"/>
      <c r="H45" s="73"/>
    </row>
    <row r="46" spans="1:8" s="33" customFormat="1" ht="27.6" customHeight="1" thickBot="1" x14ac:dyDescent="0.35">
      <c r="A46" s="32"/>
      <c r="B46" s="100"/>
      <c r="C46" s="107" t="s">
        <v>228</v>
      </c>
      <c r="D46" s="102"/>
      <c r="E46" s="110"/>
      <c r="F46" s="76"/>
      <c r="G46" s="72" t="s">
        <v>229</v>
      </c>
      <c r="H46" s="73"/>
    </row>
    <row r="47" spans="1:8" s="33" customFormat="1" ht="27.6" customHeight="1" thickBot="1" x14ac:dyDescent="0.35">
      <c r="A47" s="32"/>
      <c r="B47" s="100"/>
      <c r="C47" s="104"/>
      <c r="D47" s="102"/>
      <c r="E47" s="111"/>
      <c r="F47" s="76"/>
      <c r="G47" s="72" t="s">
        <v>225</v>
      </c>
      <c r="H47" s="73"/>
    </row>
    <row r="48" spans="1:8" s="33" customFormat="1" ht="27.6" customHeight="1" thickBot="1" x14ac:dyDescent="0.35">
      <c r="A48" s="32"/>
      <c r="B48" s="100"/>
      <c r="C48" s="104"/>
      <c r="D48" s="105"/>
      <c r="E48" s="104"/>
      <c r="F48" s="76"/>
      <c r="G48" s="72"/>
      <c r="H48" s="73"/>
    </row>
    <row r="49" spans="1:10" s="33" customFormat="1" ht="27.6" customHeight="1" thickBot="1" x14ac:dyDescent="0.35">
      <c r="A49" s="32"/>
      <c r="B49" s="100"/>
      <c r="C49" s="107" t="s">
        <v>230</v>
      </c>
      <c r="D49" s="102"/>
      <c r="E49" s="112"/>
      <c r="F49" s="76"/>
      <c r="G49" s="72" t="s">
        <v>225</v>
      </c>
      <c r="H49" s="73"/>
    </row>
    <row r="50" spans="1:10" s="14" customFormat="1" ht="18" customHeight="1" x14ac:dyDescent="0.3">
      <c r="A50" s="25"/>
      <c r="B50" s="78"/>
      <c r="C50" s="79"/>
      <c r="D50" s="77"/>
      <c r="E50" s="79"/>
      <c r="F50" s="77"/>
      <c r="G50" s="74"/>
      <c r="H50" s="75"/>
    </row>
    <row r="51" spans="1:10" s="14" customFormat="1" ht="18" customHeight="1" x14ac:dyDescent="0.3">
      <c r="A51" s="25"/>
      <c r="B51" s="78"/>
      <c r="C51" s="79"/>
      <c r="D51" s="77"/>
      <c r="E51" s="79"/>
      <c r="F51" s="77"/>
      <c r="G51" s="74"/>
      <c r="H51" s="75"/>
    </row>
    <row r="52" spans="1:10" s="14" customFormat="1" ht="18" customHeight="1" x14ac:dyDescent="0.3">
      <c r="A52" s="25"/>
      <c r="B52" s="78"/>
      <c r="C52" s="79"/>
      <c r="D52" s="77"/>
      <c r="E52" s="79"/>
      <c r="F52" s="77"/>
      <c r="G52" s="74"/>
      <c r="H52" s="75"/>
    </row>
    <row r="53" spans="1:10" s="14" customFormat="1" ht="18" customHeight="1" x14ac:dyDescent="0.3">
      <c r="A53" s="25"/>
      <c r="B53" s="78"/>
      <c r="C53" s="79"/>
      <c r="D53" s="77"/>
      <c r="E53" s="79"/>
      <c r="F53" s="77"/>
      <c r="G53" s="74"/>
      <c r="H53" s="75"/>
    </row>
    <row r="54" spans="1:10" s="14" customFormat="1" ht="18" customHeight="1" x14ac:dyDescent="0.3">
      <c r="A54" s="25"/>
      <c r="B54" s="78"/>
      <c r="C54" s="79"/>
      <c r="D54" s="77"/>
      <c r="E54" s="79"/>
      <c r="F54" s="77"/>
      <c r="G54" s="74"/>
      <c r="H54" s="75"/>
    </row>
    <row r="55" spans="1:10" ht="10.199999999999999" customHeight="1" x14ac:dyDescent="0.3">
      <c r="A55" s="24"/>
      <c r="B55" s="71"/>
      <c r="C55" s="64"/>
      <c r="D55" s="65"/>
      <c r="E55" s="64"/>
      <c r="F55" s="65"/>
      <c r="G55" s="66"/>
      <c r="H55" s="67"/>
      <c r="I55" s="14"/>
      <c r="J55" s="14"/>
    </row>
    <row r="56" spans="1:10" x14ac:dyDescent="0.3">
      <c r="A56" s="24"/>
      <c r="B56" s="31"/>
      <c r="C56" s="34"/>
      <c r="D56" s="35"/>
      <c r="E56" s="34"/>
      <c r="F56" s="35"/>
      <c r="G56" s="38"/>
    </row>
    <row r="57" spans="1:10" x14ac:dyDescent="0.3">
      <c r="B57" s="31"/>
      <c r="C57" s="34"/>
      <c r="D57" s="35"/>
      <c r="E57" s="34"/>
      <c r="F57" s="35"/>
      <c r="G57" s="38"/>
    </row>
    <row r="58" spans="1:10" x14ac:dyDescent="0.3">
      <c r="B58" s="31"/>
      <c r="C58" s="34"/>
      <c r="D58" s="35"/>
      <c r="E58" s="34"/>
      <c r="F58" s="35"/>
      <c r="G58" s="38"/>
    </row>
    <row r="59" spans="1:10" x14ac:dyDescent="0.3">
      <c r="B59" s="31"/>
      <c r="C59" s="34"/>
      <c r="D59" s="35"/>
      <c r="E59" s="34"/>
      <c r="F59" s="35"/>
      <c r="G59" s="38"/>
    </row>
    <row r="60" spans="1:10" x14ac:dyDescent="0.3">
      <c r="B60" s="31"/>
      <c r="C60" s="34"/>
      <c r="D60" s="35"/>
      <c r="E60" s="34"/>
      <c r="F60" s="35"/>
      <c r="G60" s="38"/>
    </row>
    <row r="61" spans="1:10" x14ac:dyDescent="0.3">
      <c r="B61" s="31"/>
      <c r="C61" s="34"/>
      <c r="D61" s="35"/>
      <c r="E61" s="34"/>
      <c r="F61" s="35"/>
      <c r="G61" s="38"/>
    </row>
  </sheetData>
  <sheetProtection algorithmName="SHA-512" hashValue="1Ycsn/Xvpdp/ZvDJro3DR6PPIMLWYNzgfObGGPGwG3Y0kOlJlkWknwGKl0f60BnyNJKFd78hD7H9HDGezRhdPg==" saltValue="duwh7LIL0daP961WbErssg==" spinCount="100000" sheet="1" objects="1" scenarios="1" formatCells="0" formatColumns="0" formatRows="0"/>
  <pageMargins left="0.7" right="0.7" top="0.75" bottom="0.75" header="0.3" footer="0.3"/>
  <pageSetup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662DD46-A484-41D0-8402-975BA632B7B6}">
          <x14:formula1>
            <xm:f>'List Kota'!$A$10:$A$11</xm:f>
          </x14:formula1>
          <xm:sqref>E19</xm:sqref>
        </x14:dataValidation>
        <x14:dataValidation type="list" allowBlank="1" showInputMessage="1" xr:uid="{445504EB-F7C2-480C-AF1A-34AA1C2E901B}">
          <x14:formula1>
            <xm:f>'FE BB Stasioner'!$A$49:$A$53</xm:f>
          </x14:formula1>
          <xm:sqref>E9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CFF99-9780-4956-8623-2F385751B556}">
  <sheetPr codeName="Sheet13"/>
  <dimension ref="A1:J60"/>
  <sheetViews>
    <sheetView showGridLines="0" zoomScale="86" zoomScaleNormal="86" workbookViewId="0">
      <selection activeCell="E28" sqref="E28"/>
    </sheetView>
  </sheetViews>
  <sheetFormatPr defaultRowHeight="14.4" x14ac:dyDescent="0.3"/>
  <cols>
    <col min="1" max="1" width="50.5546875" customWidth="1"/>
    <col min="2" max="2" width="7.44140625" style="21" customWidth="1"/>
    <col min="3" max="3" width="55.77734375" style="36" customWidth="1"/>
    <col min="4" max="4" width="7.5546875" style="37" customWidth="1"/>
    <col min="5" max="5" width="73.44140625" style="36" customWidth="1"/>
    <col min="6" max="6" width="1.88671875" style="37" customWidth="1"/>
    <col min="7" max="7" width="4.77734375" style="39" customWidth="1"/>
    <col min="8" max="8" width="15.6640625" customWidth="1"/>
  </cols>
  <sheetData>
    <row r="1" spans="1:8" x14ac:dyDescent="0.3">
      <c r="A1" s="24"/>
      <c r="B1" s="71"/>
      <c r="C1" s="64"/>
      <c r="D1" s="65"/>
      <c r="E1" s="64"/>
      <c r="F1" s="65"/>
      <c r="G1" s="66"/>
      <c r="H1" s="67"/>
    </row>
    <row r="2" spans="1:8" x14ac:dyDescent="0.3">
      <c r="A2" s="24"/>
      <c r="B2" s="71"/>
      <c r="C2" s="64"/>
      <c r="D2" s="65"/>
      <c r="E2" s="64"/>
      <c r="F2" s="65"/>
      <c r="G2" s="66"/>
      <c r="H2" s="67"/>
    </row>
    <row r="3" spans="1:8" ht="56.4" customHeight="1" x14ac:dyDescent="0.3">
      <c r="A3" s="24"/>
      <c r="B3" s="71"/>
      <c r="C3" s="68"/>
      <c r="D3" s="69"/>
      <c r="E3" s="68"/>
      <c r="F3" s="69"/>
      <c r="G3" s="70"/>
      <c r="H3" s="67"/>
    </row>
    <row r="4" spans="1:8" ht="18" customHeight="1" thickBot="1" x14ac:dyDescent="0.35">
      <c r="A4" s="24"/>
      <c r="B4" s="71"/>
      <c r="C4" s="64"/>
      <c r="D4" s="65"/>
      <c r="E4" s="64"/>
      <c r="F4" s="65"/>
      <c r="G4" s="66"/>
      <c r="H4" s="67"/>
    </row>
    <row r="5" spans="1:8" s="33" customFormat="1" ht="27.6" customHeight="1" thickBot="1" x14ac:dyDescent="0.35">
      <c r="A5" s="32"/>
      <c r="B5" s="100"/>
      <c r="C5" s="101" t="s">
        <v>303</v>
      </c>
      <c r="D5" s="102"/>
      <c r="E5" s="103"/>
      <c r="F5" s="52"/>
      <c r="G5" s="72"/>
      <c r="H5" s="73"/>
    </row>
    <row r="6" spans="1:8" s="33" customFormat="1" ht="11.4" customHeight="1" thickBot="1" x14ac:dyDescent="0.35">
      <c r="A6" s="32"/>
      <c r="B6" s="100"/>
      <c r="C6" s="104"/>
      <c r="D6" s="105"/>
      <c r="E6" s="106"/>
      <c r="F6" s="76"/>
      <c r="G6" s="72"/>
      <c r="H6" s="73"/>
    </row>
    <row r="7" spans="1:8" s="33" customFormat="1" ht="27.6" customHeight="1" thickBot="1" x14ac:dyDescent="0.35">
      <c r="A7" s="32"/>
      <c r="B7" s="100"/>
      <c r="C7" s="107" t="str">
        <f>IF(E5="Gula Kristal Putih","Bahan Baku Tebu yang Digunakan","Produk yang Dihasilkan per Bulan")</f>
        <v>Produk yang Dihasilkan per Bulan</v>
      </c>
      <c r="D7" s="102"/>
      <c r="E7" s="112"/>
      <c r="F7" s="52"/>
      <c r="G7" s="72" t="str">
        <f>IFERROR(VLOOKUP(E5,SIH!$A$2:$F$50,6,FALSE),"  ton")</f>
        <v xml:space="preserve">  ton</v>
      </c>
      <c r="H7" s="73"/>
    </row>
    <row r="8" spans="1:8" s="33" customFormat="1" ht="11.4" customHeight="1" thickBot="1" x14ac:dyDescent="0.35">
      <c r="A8" s="32"/>
      <c r="B8" s="100"/>
      <c r="C8" s="104"/>
      <c r="D8" s="105"/>
      <c r="E8" s="106"/>
      <c r="F8" s="76"/>
      <c r="G8" s="72"/>
      <c r="H8" s="73"/>
    </row>
    <row r="9" spans="1:8" s="33" customFormat="1" ht="27.6" customHeight="1" thickBot="1" x14ac:dyDescent="0.35">
      <c r="A9" s="32"/>
      <c r="B9" s="100"/>
      <c r="C9" s="108" t="s">
        <v>334</v>
      </c>
      <c r="D9" s="102"/>
      <c r="E9" s="138"/>
      <c r="F9" s="52"/>
      <c r="G9" s="72" t="s">
        <v>477</v>
      </c>
      <c r="H9" s="73"/>
    </row>
    <row r="10" spans="1:8" s="33" customFormat="1" ht="11.4" customHeight="1" thickBot="1" x14ac:dyDescent="0.35">
      <c r="A10" s="32"/>
      <c r="B10" s="100"/>
      <c r="C10" s="104"/>
      <c r="D10" s="105"/>
      <c r="E10" s="106"/>
      <c r="F10" s="76"/>
      <c r="G10" s="72"/>
      <c r="H10" s="73"/>
    </row>
    <row r="11" spans="1:8" s="33" customFormat="1" ht="27.6" customHeight="1" thickBot="1" x14ac:dyDescent="0.35">
      <c r="A11" s="32"/>
      <c r="B11" s="100"/>
      <c r="C11" s="107" t="s">
        <v>336</v>
      </c>
      <c r="D11" s="102"/>
      <c r="E11" s="112" t="str">
        <f>IFERROR(VLOOKUP(E5,SIH!$A$2:$D$50,4,FALSE),"0")</f>
        <v>0</v>
      </c>
      <c r="F11" s="76"/>
      <c r="G11" s="137" t="str">
        <f>CONCATENATE("  kg CO2 /",G7)</f>
        <v xml:space="preserve">  kg CO2 /  ton</v>
      </c>
      <c r="H11" s="73"/>
    </row>
    <row r="12" spans="1:8" s="33" customFormat="1" ht="11.4" customHeight="1" thickBot="1" x14ac:dyDescent="0.35">
      <c r="A12" s="32"/>
      <c r="B12" s="100"/>
      <c r="C12" s="104"/>
      <c r="D12" s="105"/>
      <c r="E12" s="106"/>
      <c r="F12" s="76"/>
      <c r="G12" s="72"/>
      <c r="H12" s="73"/>
    </row>
    <row r="13" spans="1:8" s="33" customFormat="1" ht="27.6" customHeight="1" thickBot="1" x14ac:dyDescent="0.35">
      <c r="A13" s="32"/>
      <c r="B13" s="100"/>
      <c r="C13" s="107" t="s">
        <v>370</v>
      </c>
      <c r="D13" s="102"/>
      <c r="E13" s="112" t="str">
        <f>IFERROR(VLOOKUP(E5,SIH!$A$2:$E$50,5,FALSE),"")</f>
        <v/>
      </c>
      <c r="F13" s="76"/>
      <c r="G13" s="137"/>
      <c r="H13" s="73"/>
    </row>
    <row r="14" spans="1:8" s="33" customFormat="1" ht="11.4" customHeight="1" x14ac:dyDescent="0.3">
      <c r="A14" s="32"/>
      <c r="B14" s="100"/>
      <c r="C14" s="104"/>
      <c r="D14" s="105"/>
      <c r="E14" s="106"/>
      <c r="F14" s="76"/>
      <c r="G14" s="72"/>
      <c r="H14" s="73"/>
    </row>
    <row r="15" spans="1:8" s="33" customFormat="1" ht="22.2" customHeight="1" x14ac:dyDescent="0.3">
      <c r="A15" s="32"/>
      <c r="B15" s="100"/>
      <c r="C15" s="104"/>
      <c r="D15" s="105"/>
      <c r="E15" s="104"/>
      <c r="F15" s="76"/>
      <c r="G15" s="72"/>
      <c r="H15" s="73"/>
    </row>
    <row r="16" spans="1:8" s="33" customFormat="1" ht="22.2" customHeight="1" x14ac:dyDescent="0.3">
      <c r="A16" s="32"/>
      <c r="B16" s="100"/>
      <c r="C16" s="104"/>
      <c r="D16" s="105"/>
      <c r="E16" s="104"/>
      <c r="F16" s="76"/>
      <c r="G16" s="72"/>
      <c r="H16" s="73"/>
    </row>
    <row r="17" spans="1:10" s="33" customFormat="1" ht="22.2" customHeight="1" x14ac:dyDescent="0.3">
      <c r="A17" s="32"/>
      <c r="B17" s="100"/>
      <c r="C17" s="104"/>
      <c r="D17" s="105"/>
      <c r="E17" s="104"/>
      <c r="F17" s="76"/>
      <c r="G17" s="72"/>
      <c r="H17" s="73"/>
    </row>
    <row r="18" spans="1:10" s="33" customFormat="1" ht="22.2" customHeight="1" x14ac:dyDescent="0.3">
      <c r="A18" s="32"/>
      <c r="B18" s="100"/>
      <c r="C18" s="104"/>
      <c r="D18" s="105"/>
      <c r="E18" s="104"/>
      <c r="F18" s="76"/>
      <c r="G18" s="72"/>
      <c r="H18" s="73"/>
    </row>
    <row r="19" spans="1:10" s="33" customFormat="1" ht="22.2" customHeight="1" x14ac:dyDescent="0.3">
      <c r="A19" s="32"/>
      <c r="B19" s="100"/>
      <c r="C19" s="104"/>
      <c r="D19" s="105"/>
      <c r="E19" s="104"/>
      <c r="F19" s="76"/>
      <c r="G19" s="72"/>
      <c r="H19" s="73"/>
    </row>
    <row r="20" spans="1:10" s="33" customFormat="1" ht="22.2" customHeight="1" thickBot="1" x14ac:dyDescent="0.35">
      <c r="A20" s="32"/>
      <c r="B20" s="100"/>
      <c r="C20" s="104"/>
      <c r="D20" s="105"/>
      <c r="E20" s="104"/>
      <c r="F20" s="76"/>
      <c r="G20" s="72"/>
      <c r="H20" s="73"/>
    </row>
    <row r="21" spans="1:10" s="33" customFormat="1" ht="27.6" customHeight="1" thickBot="1" x14ac:dyDescent="0.35">
      <c r="A21" s="32"/>
      <c r="B21" s="100"/>
      <c r="C21" s="107" t="s">
        <v>337</v>
      </c>
      <c r="D21" s="102"/>
      <c r="E21" s="112"/>
      <c r="F21" s="76"/>
      <c r="G21" s="137" t="str">
        <f>CONCATENATE("  kg CO2 /",G7)</f>
        <v xml:space="preserve">  kg CO2 /  ton</v>
      </c>
      <c r="H21" s="73"/>
    </row>
    <row r="22" spans="1:10" s="33" customFormat="1" ht="11.4" customHeight="1" thickBot="1" x14ac:dyDescent="0.35">
      <c r="A22" s="32"/>
      <c r="B22" s="100"/>
      <c r="C22" s="104"/>
      <c r="D22" s="105"/>
      <c r="E22" s="106"/>
      <c r="F22" s="76"/>
      <c r="G22" s="72"/>
      <c r="H22" s="73"/>
    </row>
    <row r="23" spans="1:10" s="33" customFormat="1" ht="27.6" customHeight="1" thickBot="1" x14ac:dyDescent="0.35">
      <c r="A23" s="32"/>
      <c r="B23" s="100"/>
      <c r="C23" s="107" t="s">
        <v>335</v>
      </c>
      <c r="D23" s="102"/>
      <c r="E23" s="103"/>
      <c r="F23" s="76"/>
      <c r="G23" s="72"/>
      <c r="H23" s="73"/>
    </row>
    <row r="24" spans="1:10" s="33" customFormat="1" ht="11.4" customHeight="1" thickBot="1" x14ac:dyDescent="0.35">
      <c r="A24" s="32"/>
      <c r="B24" s="100"/>
      <c r="C24" s="104"/>
      <c r="D24" s="105"/>
      <c r="E24" s="106"/>
      <c r="F24" s="76"/>
      <c r="G24" s="72"/>
      <c r="H24" s="73"/>
    </row>
    <row r="25" spans="1:10" s="33" customFormat="1" ht="27.6" customHeight="1" thickBot="1" x14ac:dyDescent="0.35">
      <c r="A25" s="32"/>
      <c r="B25" s="100"/>
      <c r="C25" s="107" t="str">
        <f>IFERROR(IF(E21&gt;E11,"Kurangi Emisi CO2e Anda Sebesar","Rasio Emisi Anda di Bawah Batasan Sebesar")," ")</f>
        <v>Rasio Emisi Anda di Bawah Batasan Sebesar</v>
      </c>
      <c r="D25" s="102"/>
      <c r="E25" s="112"/>
      <c r="F25" s="76"/>
      <c r="G25" s="137" t="str">
        <f>CONCATENATE("  kg CO2 /",G7)</f>
        <v xml:space="preserve">  kg CO2 /  ton</v>
      </c>
      <c r="H25" s="73"/>
    </row>
    <row r="26" spans="1:10" s="33" customFormat="1" ht="22.2" customHeight="1" x14ac:dyDescent="0.3">
      <c r="A26" s="32"/>
      <c r="B26" s="100"/>
      <c r="C26" s="104"/>
      <c r="D26" s="105"/>
      <c r="E26" s="104"/>
      <c r="F26" s="76"/>
      <c r="G26" s="72"/>
      <c r="H26" s="73"/>
    </row>
    <row r="27" spans="1:10" s="33" customFormat="1" ht="22.2" customHeight="1" x14ac:dyDescent="0.3">
      <c r="A27" s="32"/>
      <c r="B27" s="100"/>
      <c r="C27" s="104"/>
      <c r="D27" s="105"/>
      <c r="E27" s="104"/>
      <c r="F27" s="76"/>
      <c r="G27" s="72"/>
      <c r="H27" s="73"/>
    </row>
    <row r="28" spans="1:10" s="33" customFormat="1" ht="22.2" customHeight="1" x14ac:dyDescent="0.3">
      <c r="A28" s="32"/>
      <c r="B28" s="100"/>
      <c r="C28" s="104"/>
      <c r="D28" s="105"/>
      <c r="E28" s="104"/>
      <c r="F28" s="76"/>
      <c r="G28" s="72"/>
      <c r="H28" s="73"/>
    </row>
    <row r="29" spans="1:10" s="33" customFormat="1" ht="22.2" customHeight="1" x14ac:dyDescent="0.3">
      <c r="A29" s="32"/>
      <c r="B29" s="100"/>
      <c r="C29" s="104"/>
      <c r="D29" s="105"/>
      <c r="E29" s="104"/>
      <c r="F29" s="76"/>
      <c r="G29" s="72"/>
      <c r="H29" s="73"/>
    </row>
    <row r="30" spans="1:10" s="33" customFormat="1" ht="22.2" customHeight="1" x14ac:dyDescent="0.3">
      <c r="A30" s="32"/>
      <c r="B30" s="100"/>
      <c r="C30" s="104"/>
      <c r="D30" s="105"/>
      <c r="E30" s="104"/>
      <c r="F30" s="76"/>
      <c r="G30" s="72"/>
      <c r="H30" s="73"/>
    </row>
    <row r="31" spans="1:10" ht="10.199999999999999" customHeight="1" x14ac:dyDescent="0.3">
      <c r="A31" s="24"/>
      <c r="B31" s="71"/>
      <c r="C31" s="64"/>
      <c r="D31" s="65"/>
      <c r="E31" s="64"/>
      <c r="F31" s="65"/>
      <c r="G31" s="66"/>
      <c r="H31" s="67"/>
      <c r="I31" s="14"/>
      <c r="J31" s="14"/>
    </row>
    <row r="32" spans="1:10" x14ac:dyDescent="0.3">
      <c r="A32" s="24"/>
      <c r="B32" s="31"/>
      <c r="C32" s="34"/>
      <c r="D32" s="35"/>
      <c r="E32" s="34"/>
      <c r="F32" s="35"/>
      <c r="G32" s="38"/>
    </row>
    <row r="33" spans="2:7" x14ac:dyDescent="0.3">
      <c r="B33" s="31"/>
      <c r="C33" s="34"/>
      <c r="D33" s="35"/>
      <c r="E33" s="34"/>
      <c r="F33" s="35"/>
      <c r="G33" s="38"/>
    </row>
    <row r="34" spans="2:7" x14ac:dyDescent="0.3">
      <c r="B34" s="31"/>
      <c r="C34" s="34"/>
      <c r="D34" s="35"/>
      <c r="E34" s="34"/>
      <c r="F34" s="35"/>
      <c r="G34" s="38"/>
    </row>
    <row r="35" spans="2:7" x14ac:dyDescent="0.3">
      <c r="B35" s="31"/>
      <c r="C35" s="34"/>
      <c r="D35" s="35"/>
      <c r="E35" s="34"/>
      <c r="F35" s="35"/>
      <c r="G35" s="38"/>
    </row>
    <row r="36" spans="2:7" x14ac:dyDescent="0.3">
      <c r="B36" s="31"/>
      <c r="C36" s="34"/>
      <c r="D36" s="35"/>
      <c r="E36" s="34"/>
      <c r="F36" s="35"/>
      <c r="G36" s="38"/>
    </row>
    <row r="37" spans="2:7" x14ac:dyDescent="0.3">
      <c r="B37" s="31"/>
      <c r="C37" s="34"/>
      <c r="D37" s="35"/>
      <c r="E37" s="34"/>
      <c r="F37" s="35"/>
      <c r="G37" s="38"/>
    </row>
    <row r="60" spans="2:2" x14ac:dyDescent="0.3">
      <c r="B60" s="139">
        <v>-1</v>
      </c>
    </row>
  </sheetData>
  <sheetProtection algorithmName="SHA-512" hashValue="noRkad59ELrg+UDRa01re/J5bxql7AfiS4//M1QSLFrxXj+uVGChsstOkil1yETBFkNtohjAm1mryew4oS6T5A==" saltValue="KxOSCzakDGZV1z3q6P35fg==" spinCount="100000" sheet="1" objects="1" scenarios="1"/>
  <conditionalFormatting sqref="E23">
    <cfRule type="cellIs" dxfId="1" priority="1" operator="equal">
      <formula>"DI BAWAH AMBANG BATAS"</formula>
    </cfRule>
    <cfRule type="cellIs" dxfId="0" priority="2" operator="equal">
      <formula>"MELEBIHI AMBANG BATAS"</formula>
    </cfRule>
  </conditionalFormatting>
  <dataValidations count="1">
    <dataValidation type="list" allowBlank="1" showInputMessage="1" sqref="E5" xr:uid="{8E218A34-BA60-40B5-A7EC-C09C24710910}">
      <formula1>JenisIndustri</formula1>
    </dataValidation>
  </dataValidations>
  <pageMargins left="0.7" right="0.7" top="0.75" bottom="0.75" header="0.3" footer="0.3"/>
  <pageSetup orientation="portrait" horizontalDpi="360" verticalDpi="360" r:id="rId1"/>
  <ignoredErrors>
    <ignoredError sqref="C7 E11 C25 E13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3E7FA-3324-4EE7-8D71-5B03BA635CA4}">
  <sheetPr codeName="Sheet15"/>
  <dimension ref="A1:AC83"/>
  <sheetViews>
    <sheetView showGridLines="0" zoomScale="86" zoomScaleNormal="86" workbookViewId="0">
      <selection activeCell="N35" sqref="N35"/>
    </sheetView>
  </sheetViews>
  <sheetFormatPr defaultRowHeight="14.4" x14ac:dyDescent="0.3"/>
  <cols>
    <col min="1" max="1" width="5.21875" customWidth="1"/>
    <col min="2" max="2" width="3.77734375" customWidth="1"/>
    <col min="28" max="28" width="4.5546875" customWidth="1"/>
    <col min="29" max="29" width="8.88671875" style="27"/>
  </cols>
  <sheetData>
    <row r="1" spans="1:29" ht="13.8" customHeight="1" thickBot="1" x14ac:dyDescent="0.35">
      <c r="A1" s="143"/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</row>
    <row r="2" spans="1:29" ht="18" customHeight="1" thickBot="1" x14ac:dyDescent="0.35">
      <c r="A2" s="143"/>
      <c r="B2" s="144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6"/>
      <c r="AC2" s="143"/>
    </row>
    <row r="3" spans="1:29" ht="75" customHeight="1" thickBot="1" x14ac:dyDescent="0.6">
      <c r="A3" s="143"/>
      <c r="B3" s="147"/>
      <c r="C3" s="157" t="s">
        <v>380</v>
      </c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9"/>
      <c r="AB3" s="148"/>
      <c r="AC3" s="143"/>
    </row>
    <row r="4" spans="1:29" x14ac:dyDescent="0.3">
      <c r="A4" s="143"/>
      <c r="B4" s="147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149"/>
      <c r="AC4" s="143"/>
    </row>
    <row r="5" spans="1:29" ht="19.2" x14ac:dyDescent="0.5">
      <c r="A5" s="143"/>
      <c r="B5" s="147"/>
      <c r="C5" s="154" t="s">
        <v>371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154" t="s">
        <v>373</v>
      </c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149"/>
      <c r="AC5" s="143"/>
    </row>
    <row r="6" spans="1:29" x14ac:dyDescent="0.3">
      <c r="A6" s="143"/>
      <c r="B6" s="147"/>
      <c r="C6" s="22" t="s">
        <v>372</v>
      </c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 t="s">
        <v>372</v>
      </c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149"/>
      <c r="AC6" s="143"/>
    </row>
    <row r="7" spans="1:29" x14ac:dyDescent="0.3">
      <c r="A7" s="143"/>
      <c r="B7" s="14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149"/>
      <c r="AC7" s="143"/>
    </row>
    <row r="8" spans="1:29" x14ac:dyDescent="0.3">
      <c r="A8" s="143"/>
      <c r="B8" s="147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149"/>
      <c r="AC8" s="143"/>
    </row>
    <row r="9" spans="1:29" x14ac:dyDescent="0.3">
      <c r="A9" s="143"/>
      <c r="B9" s="147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149"/>
      <c r="AC9" s="143"/>
    </row>
    <row r="10" spans="1:29" x14ac:dyDescent="0.3">
      <c r="A10" s="143"/>
      <c r="B10" s="147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149"/>
      <c r="AC10" s="143"/>
    </row>
    <row r="11" spans="1:29" x14ac:dyDescent="0.3">
      <c r="A11" s="143"/>
      <c r="B11" s="147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149"/>
      <c r="AC11" s="143"/>
    </row>
    <row r="12" spans="1:29" x14ac:dyDescent="0.3">
      <c r="A12" s="143"/>
      <c r="B12" s="147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149"/>
      <c r="AC12" s="143"/>
    </row>
    <row r="13" spans="1:29" x14ac:dyDescent="0.3">
      <c r="A13" s="143"/>
      <c r="B13" s="147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149"/>
      <c r="AC13" s="143"/>
    </row>
    <row r="14" spans="1:29" x14ac:dyDescent="0.3">
      <c r="A14" s="143"/>
      <c r="B14" s="147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149"/>
      <c r="AC14" s="143"/>
    </row>
    <row r="15" spans="1:29" x14ac:dyDescent="0.3">
      <c r="A15" s="143"/>
      <c r="B15" s="147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149"/>
      <c r="AC15" s="143"/>
    </row>
    <row r="16" spans="1:29" x14ac:dyDescent="0.3">
      <c r="A16" s="143"/>
      <c r="B16" s="147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149"/>
      <c r="AC16" s="143"/>
    </row>
    <row r="17" spans="1:29" x14ac:dyDescent="0.3">
      <c r="A17" s="143"/>
      <c r="B17" s="147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149"/>
      <c r="AC17" s="143"/>
    </row>
    <row r="18" spans="1:29" x14ac:dyDescent="0.3">
      <c r="A18" s="143"/>
      <c r="B18" s="147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Z18" s="22"/>
      <c r="AA18" s="22"/>
      <c r="AB18" s="149"/>
      <c r="AC18" s="143"/>
    </row>
    <row r="19" spans="1:29" x14ac:dyDescent="0.3">
      <c r="A19" s="143"/>
      <c r="B19" s="147"/>
      <c r="C19" s="22"/>
      <c r="D19" s="22"/>
      <c r="E19" s="22"/>
      <c r="F19" s="22"/>
      <c r="G19" s="22"/>
      <c r="H19" s="22"/>
      <c r="I19" s="22"/>
      <c r="J19" s="22"/>
      <c r="K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149"/>
      <c r="AC19" s="143"/>
    </row>
    <row r="20" spans="1:29" x14ac:dyDescent="0.3">
      <c r="A20" s="143"/>
      <c r="B20" s="147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149"/>
      <c r="AC20" s="143"/>
    </row>
    <row r="21" spans="1:29" x14ac:dyDescent="0.3">
      <c r="A21" s="143"/>
      <c r="B21" s="147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149"/>
      <c r="AC21" s="143"/>
    </row>
    <row r="22" spans="1:29" x14ac:dyDescent="0.3">
      <c r="A22" s="143"/>
      <c r="B22" s="147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149"/>
      <c r="AC22" s="143"/>
    </row>
    <row r="23" spans="1:29" x14ac:dyDescent="0.3">
      <c r="A23" s="143"/>
      <c r="B23" s="147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149"/>
      <c r="AC23" s="143"/>
    </row>
    <row r="24" spans="1:29" x14ac:dyDescent="0.3">
      <c r="A24" s="143"/>
      <c r="B24" s="147"/>
      <c r="C24" s="22"/>
      <c r="D24" s="22"/>
      <c r="E24" s="22"/>
      <c r="F24" s="22"/>
      <c r="G24" s="22"/>
      <c r="H24" s="22"/>
      <c r="I24" s="22"/>
      <c r="J24" s="22"/>
      <c r="K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149"/>
      <c r="AC24" s="143"/>
    </row>
    <row r="25" spans="1:29" x14ac:dyDescent="0.3">
      <c r="A25" s="143"/>
      <c r="B25" s="147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149"/>
      <c r="AC25" s="143"/>
    </row>
    <row r="26" spans="1:29" x14ac:dyDescent="0.3">
      <c r="A26" s="143"/>
      <c r="B26" s="147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149"/>
      <c r="AC26" s="143"/>
    </row>
    <row r="27" spans="1:29" x14ac:dyDescent="0.3">
      <c r="A27" s="143"/>
      <c r="B27" s="147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149"/>
      <c r="AC27" s="143"/>
    </row>
    <row r="28" spans="1:29" x14ac:dyDescent="0.3">
      <c r="A28" s="143"/>
      <c r="B28" s="147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149"/>
      <c r="AC28" s="143"/>
    </row>
    <row r="29" spans="1:29" x14ac:dyDescent="0.3">
      <c r="A29" s="143"/>
      <c r="B29" s="147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149"/>
      <c r="AC29" s="143"/>
    </row>
    <row r="30" spans="1:29" x14ac:dyDescent="0.3">
      <c r="A30" s="143"/>
      <c r="B30" s="147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149"/>
      <c r="AC30" s="143"/>
    </row>
    <row r="31" spans="1:29" x14ac:dyDescent="0.3">
      <c r="A31" s="143"/>
      <c r="B31" s="147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149"/>
      <c r="AC31" s="143"/>
    </row>
    <row r="32" spans="1:29" x14ac:dyDescent="0.3">
      <c r="A32" s="143"/>
      <c r="B32" s="147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149"/>
      <c r="AC32" s="143"/>
    </row>
    <row r="33" spans="1:29" x14ac:dyDescent="0.3">
      <c r="A33" s="143"/>
      <c r="B33" s="147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149"/>
      <c r="AC33" s="143"/>
    </row>
    <row r="34" spans="1:29" x14ac:dyDescent="0.3">
      <c r="A34" s="143"/>
      <c r="B34" s="147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149"/>
      <c r="AC34" s="143"/>
    </row>
    <row r="35" spans="1:29" x14ac:dyDescent="0.3">
      <c r="A35" s="143"/>
      <c r="B35" s="147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149"/>
      <c r="AC35" s="143"/>
    </row>
    <row r="36" spans="1:29" x14ac:dyDescent="0.3">
      <c r="A36" s="143"/>
      <c r="B36" s="147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149"/>
      <c r="AC36" s="143"/>
    </row>
    <row r="37" spans="1:29" x14ac:dyDescent="0.3">
      <c r="A37" s="143"/>
      <c r="B37" s="147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149"/>
      <c r="AC37" s="143"/>
    </row>
    <row r="38" spans="1:29" x14ac:dyDescent="0.3">
      <c r="A38" s="143"/>
      <c r="B38" s="147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149"/>
      <c r="AC38" s="143"/>
    </row>
    <row r="39" spans="1:29" x14ac:dyDescent="0.3">
      <c r="A39" s="143"/>
      <c r="B39" s="147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149"/>
      <c r="AC39" s="143"/>
    </row>
    <row r="40" spans="1:29" x14ac:dyDescent="0.3">
      <c r="A40" s="143"/>
      <c r="B40" s="147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149"/>
      <c r="AC40" s="143"/>
    </row>
    <row r="41" spans="1:29" x14ac:dyDescent="0.3">
      <c r="A41" s="143"/>
      <c r="B41" s="147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149"/>
      <c r="AC41" s="143"/>
    </row>
    <row r="42" spans="1:29" x14ac:dyDescent="0.3">
      <c r="A42" s="143"/>
      <c r="B42" s="147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149"/>
      <c r="AC42" s="143"/>
    </row>
    <row r="43" spans="1:29" x14ac:dyDescent="0.3">
      <c r="A43" s="143"/>
      <c r="B43" s="147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149"/>
      <c r="AC43" s="143"/>
    </row>
    <row r="44" spans="1:29" ht="19.2" x14ac:dyDescent="0.5">
      <c r="A44" s="143"/>
      <c r="B44" s="147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154" t="s">
        <v>376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149"/>
      <c r="AC44" s="143"/>
    </row>
    <row r="45" spans="1:29" x14ac:dyDescent="0.3">
      <c r="A45" s="143"/>
      <c r="B45" s="147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 t="s">
        <v>384</v>
      </c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149"/>
      <c r="AC45" s="143"/>
    </row>
    <row r="46" spans="1:29" x14ac:dyDescent="0.3">
      <c r="A46" s="143"/>
      <c r="B46" s="147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149"/>
      <c r="AC46" s="143"/>
    </row>
    <row r="47" spans="1:29" x14ac:dyDescent="0.3">
      <c r="A47" s="143"/>
      <c r="B47" s="147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149"/>
      <c r="AC47" s="143"/>
    </row>
    <row r="48" spans="1:29" x14ac:dyDescent="0.3">
      <c r="A48" s="143"/>
      <c r="B48" s="147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149"/>
      <c r="AC48" s="143"/>
    </row>
    <row r="49" spans="1:29" ht="15.6" x14ac:dyDescent="0.3">
      <c r="A49" s="143"/>
      <c r="B49" s="147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150"/>
      <c r="AA49" s="22"/>
      <c r="AB49" s="149"/>
      <c r="AC49" s="143"/>
    </row>
    <row r="50" spans="1:29" x14ac:dyDescent="0.3">
      <c r="A50" s="143"/>
      <c r="B50" s="147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149"/>
      <c r="AC50" s="143"/>
    </row>
    <row r="51" spans="1:29" x14ac:dyDescent="0.3">
      <c r="A51" s="143"/>
      <c r="B51" s="147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149"/>
      <c r="AC51" s="143"/>
    </row>
    <row r="52" spans="1:29" x14ac:dyDescent="0.3">
      <c r="A52" s="143"/>
      <c r="B52" s="147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149"/>
      <c r="AC52" s="143"/>
    </row>
    <row r="53" spans="1:29" x14ac:dyDescent="0.3">
      <c r="A53" s="143"/>
      <c r="B53" s="147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149"/>
      <c r="AC53" s="143"/>
    </row>
    <row r="54" spans="1:29" x14ac:dyDescent="0.3">
      <c r="A54" s="143"/>
      <c r="B54" s="147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149"/>
      <c r="AC54" s="143"/>
    </row>
    <row r="55" spans="1:29" x14ac:dyDescent="0.3">
      <c r="A55" s="143"/>
      <c r="B55" s="147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AA55" s="22"/>
      <c r="AB55" s="149"/>
      <c r="AC55" s="143"/>
    </row>
    <row r="56" spans="1:29" x14ac:dyDescent="0.3">
      <c r="A56" s="143"/>
      <c r="B56" s="147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149"/>
      <c r="AC56" s="143"/>
    </row>
    <row r="57" spans="1:29" x14ac:dyDescent="0.3">
      <c r="A57" s="143"/>
      <c r="B57" s="147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149"/>
      <c r="AC57" s="143"/>
    </row>
    <row r="58" spans="1:29" x14ac:dyDescent="0.3">
      <c r="A58" s="143"/>
      <c r="B58" s="147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149"/>
      <c r="AC58" s="143"/>
    </row>
    <row r="59" spans="1:29" x14ac:dyDescent="0.3">
      <c r="A59" s="143"/>
      <c r="B59" s="147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149"/>
      <c r="AC59" s="143"/>
    </row>
    <row r="60" spans="1:29" x14ac:dyDescent="0.3">
      <c r="A60" s="143"/>
      <c r="B60" s="147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149"/>
      <c r="AC60" s="143"/>
    </row>
    <row r="61" spans="1:29" x14ac:dyDescent="0.3">
      <c r="A61" s="143"/>
      <c r="B61" s="147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149"/>
      <c r="AC61" s="143"/>
    </row>
    <row r="62" spans="1:29" x14ac:dyDescent="0.3">
      <c r="A62" s="143"/>
      <c r="B62" s="147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149"/>
      <c r="AC62" s="143"/>
    </row>
    <row r="63" spans="1:29" x14ac:dyDescent="0.3">
      <c r="A63" s="143"/>
      <c r="B63" s="147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149"/>
      <c r="AC63" s="143"/>
    </row>
    <row r="64" spans="1:29" x14ac:dyDescent="0.3">
      <c r="A64" s="143"/>
      <c r="B64" s="147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149"/>
      <c r="AC64" s="143"/>
    </row>
    <row r="65" spans="1:29" ht="15.6" x14ac:dyDescent="0.3">
      <c r="A65" s="143"/>
      <c r="B65" s="147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150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149"/>
      <c r="AC65" s="143"/>
    </row>
    <row r="66" spans="1:29" x14ac:dyDescent="0.3">
      <c r="A66" s="143"/>
      <c r="B66" s="147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149"/>
      <c r="AC66" s="143"/>
    </row>
    <row r="67" spans="1:29" ht="15.6" x14ac:dyDescent="0.3">
      <c r="A67" s="143"/>
      <c r="B67" s="147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150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149"/>
      <c r="AC67" s="143"/>
    </row>
    <row r="68" spans="1:29" x14ac:dyDescent="0.3">
      <c r="A68" s="143"/>
      <c r="B68" s="147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149"/>
      <c r="AC68" s="143"/>
    </row>
    <row r="69" spans="1:29" x14ac:dyDescent="0.3">
      <c r="A69" s="143"/>
      <c r="B69" s="147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149"/>
      <c r="AC69" s="143"/>
    </row>
    <row r="70" spans="1:29" ht="19.2" x14ac:dyDescent="0.5">
      <c r="A70" s="143"/>
      <c r="B70" s="147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154" t="s">
        <v>374</v>
      </c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149"/>
      <c r="AC70" s="143"/>
    </row>
    <row r="71" spans="1:29" x14ac:dyDescent="0.3">
      <c r="A71" s="143"/>
      <c r="B71" s="147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 t="s">
        <v>372</v>
      </c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149"/>
      <c r="AC71" s="143"/>
    </row>
    <row r="72" spans="1:29" x14ac:dyDescent="0.3">
      <c r="A72" s="143"/>
      <c r="B72" s="147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 t="s">
        <v>375</v>
      </c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149"/>
      <c r="AC72" s="143"/>
    </row>
    <row r="73" spans="1:29" x14ac:dyDescent="0.3">
      <c r="A73" s="143"/>
      <c r="B73" s="147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 t="s">
        <v>378</v>
      </c>
      <c r="Q73" s="22" t="s">
        <v>377</v>
      </c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149"/>
      <c r="AC73" s="143"/>
    </row>
    <row r="74" spans="1:29" x14ac:dyDescent="0.3">
      <c r="A74" s="143"/>
      <c r="B74" s="147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 t="s">
        <v>379</v>
      </c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149"/>
      <c r="AC74" s="143"/>
    </row>
    <row r="75" spans="1:29" x14ac:dyDescent="0.3">
      <c r="A75" s="143"/>
      <c r="B75" s="147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149"/>
      <c r="AC75" s="143"/>
    </row>
    <row r="76" spans="1:29" x14ac:dyDescent="0.3">
      <c r="A76" s="143"/>
      <c r="B76" s="147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149"/>
      <c r="AC76" s="143"/>
    </row>
    <row r="77" spans="1:29" x14ac:dyDescent="0.3">
      <c r="A77" s="143"/>
      <c r="B77" s="147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149"/>
      <c r="AC77" s="143"/>
    </row>
    <row r="78" spans="1:29" x14ac:dyDescent="0.3">
      <c r="A78" s="143"/>
      <c r="B78" s="147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149"/>
      <c r="AC78" s="143"/>
    </row>
    <row r="79" spans="1:29" x14ac:dyDescent="0.3">
      <c r="A79" s="143"/>
      <c r="B79" s="147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V79" s="22"/>
      <c r="W79" s="22"/>
      <c r="X79" s="22"/>
      <c r="Y79" s="22"/>
      <c r="Z79" s="22"/>
      <c r="AA79" s="22"/>
      <c r="AB79" s="149"/>
      <c r="AC79" s="143"/>
    </row>
    <row r="80" spans="1:29" ht="26.4" customHeight="1" thickBot="1" x14ac:dyDescent="0.35">
      <c r="A80" s="143"/>
      <c r="B80" s="151"/>
      <c r="C80" s="152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3"/>
      <c r="AC80" s="143"/>
    </row>
    <row r="81" spans="1:29" x14ac:dyDescent="0.3">
      <c r="A81" s="143"/>
      <c r="B81" s="143"/>
      <c r="C81" s="143"/>
      <c r="D81" s="143"/>
      <c r="E81" s="143"/>
      <c r="F81" s="143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  <c r="AA81" s="143"/>
      <c r="AB81" s="143"/>
      <c r="AC81" s="143"/>
    </row>
    <row r="82" spans="1:29" x14ac:dyDescent="0.3"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9" x14ac:dyDescent="0.3"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</sheetData>
  <mergeCells count="1">
    <mergeCell ref="C3:AA3"/>
  </mergeCells>
  <phoneticPr fontId="34" type="noConversion"/>
  <pageMargins left="0.7" right="0.7" top="0.75" bottom="0.75" header="0.3" footer="0.3"/>
  <pageSetup orientation="portrait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5F294-CC3A-4E46-B1A1-8C72BF952A96}">
  <sheetPr codeName="Sheet14"/>
  <dimension ref="A1:L50"/>
  <sheetViews>
    <sheetView workbookViewId="0">
      <selection activeCell="C20" sqref="C20"/>
    </sheetView>
  </sheetViews>
  <sheetFormatPr defaultRowHeight="14.4" x14ac:dyDescent="0.3"/>
  <cols>
    <col min="1" max="1" width="52.5546875" bestFit="1" customWidth="1"/>
    <col min="2" max="2" width="11.88671875" customWidth="1"/>
    <col min="3" max="3" width="20" bestFit="1" customWidth="1"/>
    <col min="4" max="4" width="14" customWidth="1"/>
    <col min="5" max="5" width="49.21875" customWidth="1"/>
    <col min="6" max="6" width="6.109375" customWidth="1"/>
    <col min="7" max="7" width="18.109375" customWidth="1"/>
    <col min="10" max="10" width="53.6640625" bestFit="1" customWidth="1"/>
    <col min="11" max="11" width="18.109375" customWidth="1"/>
  </cols>
  <sheetData>
    <row r="1" spans="1:12" ht="28.8" x14ac:dyDescent="0.3">
      <c r="A1" s="131" t="s">
        <v>242</v>
      </c>
      <c r="B1" s="131" t="s">
        <v>243</v>
      </c>
      <c r="C1" s="131" t="s">
        <v>298</v>
      </c>
      <c r="D1" s="131" t="s">
        <v>244</v>
      </c>
      <c r="E1" s="131" t="s">
        <v>245</v>
      </c>
      <c r="F1" s="131" t="s">
        <v>332</v>
      </c>
      <c r="G1" s="131" t="s">
        <v>246</v>
      </c>
      <c r="K1">
        <f>COUNTIF($L:$L,"?*")</f>
        <v>49</v>
      </c>
    </row>
    <row r="2" spans="1:12" x14ac:dyDescent="0.3">
      <c r="A2" s="3" t="s">
        <v>299</v>
      </c>
      <c r="B2" s="10" t="s">
        <v>247</v>
      </c>
      <c r="C2" s="10" t="s">
        <v>248</v>
      </c>
      <c r="D2" s="136">
        <v>440</v>
      </c>
      <c r="E2" s="10" t="s">
        <v>338</v>
      </c>
      <c r="F2" s="10" t="s">
        <v>331</v>
      </c>
      <c r="G2" s="3"/>
      <c r="I2">
        <f>IF(ISNUMBER(SEARCH('Status Emisi'!$E$5,SIH!J2)),MAX($I$1:I1)+1,0)</f>
        <v>1</v>
      </c>
      <c r="J2" t="s">
        <v>299</v>
      </c>
      <c r="K2" t="str">
        <f ca="1">OFFSET($L$2,0,0,COUNTIF(L:L,"?*"),1)</f>
        <v>Tas, Kantong Plastik, Bioplastik bahan Polimer</v>
      </c>
      <c r="L2" t="str">
        <f>IFERROR(VLOOKUP(ROWS($L$1:L1),$I$2:$J$50,2,FALSE),"")</f>
        <v>Tas, Kantong Plastik, Bioplastik bahan Polimer</v>
      </c>
    </row>
    <row r="3" spans="1:12" x14ac:dyDescent="0.3">
      <c r="A3" s="3" t="s">
        <v>300</v>
      </c>
      <c r="B3" s="10" t="s">
        <v>247</v>
      </c>
      <c r="C3" s="10" t="s">
        <v>249</v>
      </c>
      <c r="D3" s="136">
        <v>560</v>
      </c>
      <c r="E3" s="10" t="s">
        <v>338</v>
      </c>
      <c r="F3" s="10" t="s">
        <v>331</v>
      </c>
      <c r="G3" s="3"/>
      <c r="I3">
        <f>IF(ISNUMBER(SEARCH('Status Emisi'!$E$5,SIH!J3)),MAX($I$1:I2)+1,0)</f>
        <v>2</v>
      </c>
      <c r="J3" t="s">
        <v>300</v>
      </c>
      <c r="L3" t="str">
        <f>IFERROR(VLOOKUP(ROWS($L$1:L2),$I$2:$J$50,2,FALSE),"")</f>
        <v>Tas, Kantong Plastik, Bioplastik bahan Daur Ulang</v>
      </c>
    </row>
    <row r="4" spans="1:12" x14ac:dyDescent="0.3">
      <c r="A4" s="3" t="s">
        <v>301</v>
      </c>
      <c r="B4" s="10" t="s">
        <v>247</v>
      </c>
      <c r="C4" s="10" t="s">
        <v>250</v>
      </c>
      <c r="D4" s="136">
        <v>560</v>
      </c>
      <c r="E4" s="10" t="s">
        <v>338</v>
      </c>
      <c r="F4" s="10" t="s">
        <v>331</v>
      </c>
      <c r="G4" s="3"/>
      <c r="I4">
        <f>IF(ISNUMBER(SEARCH('Status Emisi'!$E$5,SIH!J4)),MAX($I$1:I3)+1,0)</f>
        <v>3</v>
      </c>
      <c r="J4" t="s">
        <v>301</v>
      </c>
      <c r="L4" t="str">
        <f>IFERROR(VLOOKUP(ROWS($L$1:L3),$I$2:$J$50,2,FALSE),"")</f>
        <v>Tas, Kantong Plastik, Bioplastik bahan Biopolimer</v>
      </c>
    </row>
    <row r="5" spans="1:12" x14ac:dyDescent="0.3">
      <c r="A5" s="3" t="s">
        <v>304</v>
      </c>
      <c r="B5" s="10" t="s">
        <v>247</v>
      </c>
      <c r="C5" s="10" t="s">
        <v>251</v>
      </c>
      <c r="D5" s="136">
        <v>117</v>
      </c>
      <c r="E5" s="10" t="s">
        <v>339</v>
      </c>
      <c r="F5" s="10" t="s">
        <v>331</v>
      </c>
      <c r="G5" s="3"/>
      <c r="I5">
        <f>IF(ISNUMBER(SEARCH('Status Emisi'!$E$5,SIH!J5)),MAX($I$1:I4)+1,0)</f>
        <v>4</v>
      </c>
      <c r="J5" t="s">
        <v>304</v>
      </c>
      <c r="L5" t="str">
        <f>IFERROR(VLOOKUP(ROWS($L$1:L4),$I$2:$J$50,2,FALSE),"")</f>
        <v>Pupuk Nitrogen, Phospor, Kalium Padat (Fusion Granulation)</v>
      </c>
    </row>
    <row r="6" spans="1:12" x14ac:dyDescent="0.3">
      <c r="A6" s="3" t="s">
        <v>305</v>
      </c>
      <c r="B6" s="10"/>
      <c r="C6" s="10" t="s">
        <v>252</v>
      </c>
      <c r="D6" s="136">
        <v>80</v>
      </c>
      <c r="E6" s="10" t="s">
        <v>339</v>
      </c>
      <c r="F6" s="10" t="s">
        <v>331</v>
      </c>
      <c r="G6" s="3"/>
      <c r="I6">
        <f>IF(ISNUMBER(SEARCH('Status Emisi'!$E$5,SIH!J6)),MAX($I$1:I5)+1,0)</f>
        <v>5</v>
      </c>
      <c r="J6" t="s">
        <v>305</v>
      </c>
      <c r="L6" t="str">
        <f>IFERROR(VLOOKUP(ROWS($L$1:L5),$I$2:$J$50,2,FALSE),"")</f>
        <v>Pupuk Nitrogen, Phospor, Kalium Padat (Chemical Granulation)</v>
      </c>
    </row>
    <row r="7" spans="1:12" x14ac:dyDescent="0.3">
      <c r="A7" s="3" t="s">
        <v>253</v>
      </c>
      <c r="B7" s="10" t="s">
        <v>247</v>
      </c>
      <c r="C7" s="10" t="s">
        <v>254</v>
      </c>
      <c r="D7" s="136">
        <v>200</v>
      </c>
      <c r="E7" s="10" t="s">
        <v>340</v>
      </c>
      <c r="F7" s="10" t="s">
        <v>331</v>
      </c>
      <c r="G7" s="3"/>
      <c r="I7">
        <f>IF(ISNUMBER(SEARCH('Status Emisi'!$E$5,SIH!J7)),MAX($I$1:I6)+1,0)</f>
        <v>6</v>
      </c>
      <c r="J7" t="s">
        <v>253</v>
      </c>
      <c r="L7" t="str">
        <f>IFERROR(VLOOKUP(ROWS($L$1:L6),$I$2:$J$50,2,FALSE),"")</f>
        <v>Karet Remah (Crumb Rubber)</v>
      </c>
    </row>
    <row r="8" spans="1:12" ht="16.2" x14ac:dyDescent="0.3">
      <c r="A8" s="3" t="s">
        <v>255</v>
      </c>
      <c r="B8" s="10" t="s">
        <v>247</v>
      </c>
      <c r="C8" s="10"/>
      <c r="D8" s="136">
        <v>0.9</v>
      </c>
      <c r="E8" s="10" t="s">
        <v>341</v>
      </c>
      <c r="F8" s="10" t="s">
        <v>385</v>
      </c>
      <c r="G8" s="3"/>
      <c r="I8">
        <f>IF(ISNUMBER(SEARCH('Status Emisi'!$E$5,SIH!J8)),MAX($I$1:I7)+1,0)</f>
        <v>7</v>
      </c>
      <c r="J8" t="s">
        <v>255</v>
      </c>
      <c r="L8" t="str">
        <f>IFERROR(VLOOKUP(ROWS($L$1:L7),$I$2:$J$50,2,FALSE),"")</f>
        <v>Penyamakan Kulit Sapi, Kerbau Domba Kambing</v>
      </c>
    </row>
    <row r="9" spans="1:12" x14ac:dyDescent="0.3">
      <c r="A9" s="3" t="s">
        <v>256</v>
      </c>
      <c r="B9" s="10" t="s">
        <v>247</v>
      </c>
      <c r="C9" s="10" t="s">
        <v>254</v>
      </c>
      <c r="D9" s="136">
        <v>600</v>
      </c>
      <c r="E9" s="10" t="s">
        <v>342</v>
      </c>
      <c r="F9" s="10" t="s">
        <v>331</v>
      </c>
      <c r="G9" s="3"/>
      <c r="I9">
        <f>IF(ISNUMBER(SEARCH('Status Emisi'!$E$5,SIH!J9)),MAX($I$1:I8)+1,0)</f>
        <v>8</v>
      </c>
      <c r="J9" t="s">
        <v>256</v>
      </c>
      <c r="L9" t="str">
        <f>IFERROR(VLOOKUP(ROWS($L$1:L8),$I$2:$J$50,2,FALSE),"")</f>
        <v>Kaca Lembaran</v>
      </c>
    </row>
    <row r="10" spans="1:12" x14ac:dyDescent="0.3">
      <c r="A10" s="3" t="s">
        <v>306</v>
      </c>
      <c r="B10" s="10" t="s">
        <v>247</v>
      </c>
      <c r="C10" s="10" t="s">
        <v>257</v>
      </c>
      <c r="D10" s="136">
        <v>23000</v>
      </c>
      <c r="E10" s="10" t="s">
        <v>343</v>
      </c>
      <c r="F10" s="10" t="s">
        <v>331</v>
      </c>
      <c r="G10" s="3"/>
      <c r="I10">
        <f>IF(ISNUMBER(SEARCH('Status Emisi'!$E$5,SIH!J10)),MAX($I$1:I9)+1,0)</f>
        <v>9</v>
      </c>
      <c r="J10" t="s">
        <v>306</v>
      </c>
      <c r="L10" t="str">
        <f>IFERROR(VLOOKUP(ROWS($L$1:L9),$I$2:$J$50,2,FALSE),"")</f>
        <v>Ubin Keramik Kategori BIIa, BIIb, BIII</v>
      </c>
    </row>
    <row r="11" spans="1:12" x14ac:dyDescent="0.3">
      <c r="A11" s="3" t="s">
        <v>307</v>
      </c>
      <c r="B11" s="10" t="s">
        <v>247</v>
      </c>
      <c r="C11" s="10" t="s">
        <v>258</v>
      </c>
      <c r="D11" s="136">
        <v>18330</v>
      </c>
      <c r="E11" s="10" t="s">
        <v>343</v>
      </c>
      <c r="F11" s="10" t="s">
        <v>331</v>
      </c>
      <c r="G11" s="3"/>
      <c r="I11">
        <f>IF(ISNUMBER(SEARCH('Status Emisi'!$E$5,SIH!J11)),MAX($I$1:I10)+1,0)</f>
        <v>10</v>
      </c>
      <c r="J11" t="s">
        <v>307</v>
      </c>
      <c r="L11" t="str">
        <f>IFERROR(VLOOKUP(ROWS($L$1:L10),$I$2:$J$50,2,FALSE),"")</f>
        <v>Ubin Keramik Kategori BIa, BIb</v>
      </c>
    </row>
    <row r="12" spans="1:12" x14ac:dyDescent="0.3">
      <c r="A12" s="3" t="s">
        <v>259</v>
      </c>
      <c r="B12" s="10" t="s">
        <v>247</v>
      </c>
      <c r="C12" s="10" t="s">
        <v>254</v>
      </c>
      <c r="D12" s="136">
        <v>1000</v>
      </c>
      <c r="E12" s="10" t="s">
        <v>344</v>
      </c>
      <c r="F12" s="10" t="s">
        <v>331</v>
      </c>
      <c r="G12" s="3"/>
      <c r="I12">
        <f>IF(ISNUMBER(SEARCH('Status Emisi'!$E$5,SIH!J12)),MAX($I$1:I11)+1,0)</f>
        <v>11</v>
      </c>
      <c r="J12" t="s">
        <v>259</v>
      </c>
      <c r="L12" t="str">
        <f>IFERROR(VLOOKUP(ROWS($L$1:L11),$I$2:$J$50,2,FALSE),"")</f>
        <v>Oleokimia Dasar bersumber Minyak Nabati</v>
      </c>
    </row>
    <row r="13" spans="1:12" x14ac:dyDescent="0.3">
      <c r="A13" s="3" t="s">
        <v>260</v>
      </c>
      <c r="B13" s="10" t="s">
        <v>247</v>
      </c>
      <c r="C13" s="10"/>
      <c r="D13" s="136">
        <v>3750</v>
      </c>
      <c r="E13" s="10" t="s">
        <v>345</v>
      </c>
      <c r="F13" s="10" t="s">
        <v>331</v>
      </c>
      <c r="G13" s="3"/>
      <c r="I13">
        <f>IF(ISNUMBER(SEARCH('Status Emisi'!$E$5,SIH!J13)),MAX($I$1:I12)+1,0)</f>
        <v>12</v>
      </c>
      <c r="J13" t="s">
        <v>260</v>
      </c>
      <c r="L13" t="str">
        <f>IFERROR(VLOOKUP(ROWS($L$1:L12),$I$2:$J$50,2,FALSE),"")</f>
        <v>Kopi Instan</v>
      </c>
    </row>
    <row r="14" spans="1:12" x14ac:dyDescent="0.3">
      <c r="A14" s="3" t="s">
        <v>261</v>
      </c>
      <c r="B14" s="10" t="s">
        <v>247</v>
      </c>
      <c r="C14" s="10" t="s">
        <v>254</v>
      </c>
      <c r="D14" s="136">
        <v>600</v>
      </c>
      <c r="E14" s="10" t="s">
        <v>346</v>
      </c>
      <c r="F14" s="10" t="s">
        <v>331</v>
      </c>
      <c r="G14" s="3"/>
      <c r="I14">
        <f>IF(ISNUMBER(SEARCH('Status Emisi'!$E$5,SIH!J14)),MAX($I$1:I13)+1,0)</f>
        <v>13</v>
      </c>
      <c r="J14" t="s">
        <v>261</v>
      </c>
      <c r="L14" t="str">
        <f>IFERROR(VLOOKUP(ROWS($L$1:L13),$I$2:$J$50,2,FALSE),"")</f>
        <v>Barang Lainnya dari Kaca</v>
      </c>
    </row>
    <row r="15" spans="1:12" x14ac:dyDescent="0.3">
      <c r="A15" s="3" t="s">
        <v>308</v>
      </c>
      <c r="B15" s="10" t="s">
        <v>247</v>
      </c>
      <c r="C15" s="10" t="s">
        <v>262</v>
      </c>
      <c r="D15" s="136">
        <v>45</v>
      </c>
      <c r="E15" s="10" t="s">
        <v>347</v>
      </c>
      <c r="F15" s="10" t="s">
        <v>331</v>
      </c>
      <c r="G15" s="3"/>
      <c r="I15">
        <f>IF(ISNUMBER(SEARCH('Status Emisi'!$E$5,SIH!J15)),MAX($I$1:I14)+1,0)</f>
        <v>14</v>
      </c>
      <c r="J15" t="s">
        <v>308</v>
      </c>
      <c r="L15" t="str">
        <f>IFERROR(VLOOKUP(ROWS($L$1:L14),$I$2:$J$50,2,FALSE),"")</f>
        <v>Tepung Terigu Tanpa Peletisasi</v>
      </c>
    </row>
    <row r="16" spans="1:12" x14ac:dyDescent="0.3">
      <c r="A16" s="3" t="s">
        <v>309</v>
      </c>
      <c r="B16" s="10"/>
      <c r="C16" s="10" t="s">
        <v>263</v>
      </c>
      <c r="D16" s="136">
        <v>50</v>
      </c>
      <c r="E16" s="10" t="s">
        <v>347</v>
      </c>
      <c r="F16" s="10" t="s">
        <v>331</v>
      </c>
      <c r="G16" s="3"/>
      <c r="I16">
        <f>IF(ISNUMBER(SEARCH('Status Emisi'!$E$5,SIH!J16)),MAX($I$1:I15)+1,0)</f>
        <v>15</v>
      </c>
      <c r="J16" t="s">
        <v>309</v>
      </c>
      <c r="L16" t="str">
        <f>IFERROR(VLOOKUP(ROWS($L$1:L15),$I$2:$J$50,2,FALSE),"")</f>
        <v>Tepung Terigu Dengan Peletisasi</v>
      </c>
    </row>
    <row r="17" spans="1:12" x14ac:dyDescent="0.3">
      <c r="A17" s="3" t="s">
        <v>310</v>
      </c>
      <c r="B17" s="10" t="s">
        <v>247</v>
      </c>
      <c r="C17" s="10" t="s">
        <v>264</v>
      </c>
      <c r="D17" s="136">
        <v>20</v>
      </c>
      <c r="E17" s="10" t="s">
        <v>348</v>
      </c>
      <c r="F17" s="10" t="s">
        <v>331</v>
      </c>
      <c r="G17" s="3"/>
      <c r="I17">
        <f>IF(ISNUMBER(SEARCH('Status Emisi'!$E$5,SIH!J17)),MAX($I$1:I16)+1,0)</f>
        <v>16</v>
      </c>
      <c r="J17" t="s">
        <v>310</v>
      </c>
      <c r="L17" t="str">
        <f>IFERROR(VLOOKUP(ROWS($L$1:L16),$I$2:$J$50,2,FALSE),"")</f>
        <v>Pengasapan Karet (Ribbed Smoked Sheet) Tanpa Blower</v>
      </c>
    </row>
    <row r="18" spans="1:12" x14ac:dyDescent="0.3">
      <c r="A18" s="3" t="s">
        <v>311</v>
      </c>
      <c r="B18" s="10"/>
      <c r="C18" s="10" t="s">
        <v>265</v>
      </c>
      <c r="D18" s="136">
        <v>115</v>
      </c>
      <c r="E18" s="10" t="s">
        <v>348</v>
      </c>
      <c r="F18" s="10" t="s">
        <v>331</v>
      </c>
      <c r="G18" s="3"/>
      <c r="I18">
        <f>IF(ISNUMBER(SEARCH('Status Emisi'!$E$5,SIH!J18)),MAX($I$1:I17)+1,0)</f>
        <v>17</v>
      </c>
      <c r="J18" t="s">
        <v>311</v>
      </c>
      <c r="L18" t="str">
        <f>IFERROR(VLOOKUP(ROWS($L$1:L17),$I$2:$J$50,2,FALSE),"")</f>
        <v>Pengasapan Karet (Ribbed Smoked Sheet) Dengan Blower</v>
      </c>
    </row>
    <row r="19" spans="1:12" x14ac:dyDescent="0.3">
      <c r="A19" s="3" t="s">
        <v>266</v>
      </c>
      <c r="B19" s="10" t="s">
        <v>247</v>
      </c>
      <c r="C19" s="10" t="s">
        <v>254</v>
      </c>
      <c r="D19" s="136">
        <v>15</v>
      </c>
      <c r="E19" s="10" t="s">
        <v>349</v>
      </c>
      <c r="F19" s="10" t="s">
        <v>331</v>
      </c>
      <c r="G19" s="10" t="s">
        <v>267</v>
      </c>
      <c r="I19">
        <f>IF(ISNUMBER(SEARCH('Status Emisi'!$E$5,SIH!J19)),MAX($I$1:I18)+1,0)</f>
        <v>18</v>
      </c>
      <c r="J19" t="s">
        <v>266</v>
      </c>
      <c r="L19" t="str">
        <f>IFERROR(VLOOKUP(ROWS($L$1:L18),$I$2:$J$50,2,FALSE),"")</f>
        <v>Gula Kristal Putih</v>
      </c>
    </row>
    <row r="20" spans="1:12" x14ac:dyDescent="0.3">
      <c r="A20" s="3" t="s">
        <v>268</v>
      </c>
      <c r="B20" s="10" t="s">
        <v>247</v>
      </c>
      <c r="C20" s="10" t="s">
        <v>254</v>
      </c>
      <c r="D20" s="136">
        <v>1000</v>
      </c>
      <c r="E20" s="10" t="s">
        <v>350</v>
      </c>
      <c r="F20" s="10" t="s">
        <v>331</v>
      </c>
      <c r="G20" s="3"/>
      <c r="I20">
        <f>IF(ISNUMBER(SEARCH('Status Emisi'!$E$5,SIH!J20)),MAX($I$1:I19)+1,0)</f>
        <v>19</v>
      </c>
      <c r="J20" t="s">
        <v>268</v>
      </c>
      <c r="L20" t="str">
        <f>IFERROR(VLOOKUP(ROWS($L$1:L19),$I$2:$J$50,2,FALSE),"")</f>
        <v>Peralatan Saniter dari Keramik</v>
      </c>
    </row>
    <row r="21" spans="1:12" x14ac:dyDescent="0.3">
      <c r="A21" s="3" t="s">
        <v>269</v>
      </c>
      <c r="B21" s="10" t="s">
        <v>247</v>
      </c>
      <c r="C21" s="10" t="s">
        <v>254</v>
      </c>
      <c r="D21" s="10">
        <v>300</v>
      </c>
      <c r="E21" s="10" t="s">
        <v>351</v>
      </c>
      <c r="F21" s="10" t="s">
        <v>331</v>
      </c>
      <c r="G21" s="3"/>
      <c r="I21">
        <f>IF(ISNUMBER(SEARCH('Status Emisi'!$E$5,SIH!J21)),MAX($I$1:I20)+1,0)</f>
        <v>20</v>
      </c>
      <c r="J21" t="s">
        <v>269</v>
      </c>
      <c r="L21" t="str">
        <f>IFERROR(VLOOKUP(ROWS($L$1:L20),$I$2:$J$50,2,FALSE),"")</f>
        <v>Biskuit dan Produk Roti Kering Lainnya</v>
      </c>
    </row>
    <row r="22" spans="1:12" x14ac:dyDescent="0.3">
      <c r="A22" s="3" t="s">
        <v>270</v>
      </c>
      <c r="B22" s="10" t="s">
        <v>247</v>
      </c>
      <c r="C22" s="10" t="s">
        <v>254</v>
      </c>
      <c r="D22" s="10">
        <v>50.75</v>
      </c>
      <c r="E22" s="10" t="s">
        <v>352</v>
      </c>
      <c r="F22" s="10" t="s">
        <v>331</v>
      </c>
      <c r="G22" s="3"/>
      <c r="I22">
        <f>IF(ISNUMBER(SEARCH('Status Emisi'!$E$5,SIH!J22)),MAX($I$1:I21)+1,0)</f>
        <v>21</v>
      </c>
      <c r="J22" t="s">
        <v>270</v>
      </c>
      <c r="L22" t="str">
        <f>IFERROR(VLOOKUP(ROWS($L$1:L21),$I$2:$J$50,2,FALSE),"")</f>
        <v>Suku Cadang dan Silencer Kendaraan Roda Empat atau Lebih</v>
      </c>
    </row>
    <row r="23" spans="1:12" x14ac:dyDescent="0.3">
      <c r="A23" s="3" t="s">
        <v>312</v>
      </c>
      <c r="B23" s="10" t="s">
        <v>247</v>
      </c>
      <c r="C23" s="10" t="s">
        <v>271</v>
      </c>
      <c r="D23" s="10">
        <v>3</v>
      </c>
      <c r="E23" s="10" t="s">
        <v>353</v>
      </c>
      <c r="F23" s="10" t="s">
        <v>331</v>
      </c>
      <c r="G23" s="3"/>
      <c r="I23">
        <f>IF(ISNUMBER(SEARCH('Status Emisi'!$E$5,SIH!J23)),MAX($I$1:I22)+1,0)</f>
        <v>22</v>
      </c>
      <c r="J23" t="s">
        <v>312</v>
      </c>
      <c r="L23" t="str">
        <f>IFERROR(VLOOKUP(ROWS($L$1:L22),$I$2:$J$50,2,FALSE),"")</f>
        <v>Peralatan Rumah Tangga dari Keramik Single Firing</v>
      </c>
    </row>
    <row r="24" spans="1:12" x14ac:dyDescent="0.3">
      <c r="A24" s="3" t="s">
        <v>313</v>
      </c>
      <c r="B24" s="10"/>
      <c r="C24" s="10" t="s">
        <v>272</v>
      </c>
      <c r="D24" s="10">
        <v>7</v>
      </c>
      <c r="E24" s="10" t="s">
        <v>353</v>
      </c>
      <c r="F24" s="10" t="s">
        <v>331</v>
      </c>
      <c r="G24" s="3"/>
      <c r="I24">
        <f>IF(ISNUMBER(SEARCH('Status Emisi'!$E$5,SIH!J24)),MAX($I$1:I23)+1,0)</f>
        <v>23</v>
      </c>
      <c r="J24" t="s">
        <v>313</v>
      </c>
      <c r="L24" t="str">
        <f>IFERROR(VLOOKUP(ROWS($L$1:L23),$I$2:$J$50,2,FALSE),"")</f>
        <v>Peralatan Rumah Tangga dari Keramik Double Firing</v>
      </c>
    </row>
    <row r="25" spans="1:12" x14ac:dyDescent="0.3">
      <c r="A25" s="3" t="s">
        <v>314</v>
      </c>
      <c r="B25" s="10" t="s">
        <v>247</v>
      </c>
      <c r="C25" s="10" t="s">
        <v>273</v>
      </c>
      <c r="D25" s="10">
        <v>48</v>
      </c>
      <c r="E25" s="10" t="s">
        <v>354</v>
      </c>
      <c r="F25" s="10" t="s">
        <v>331</v>
      </c>
      <c r="G25" s="10"/>
      <c r="I25">
        <f>IF(ISNUMBER(SEARCH('Status Emisi'!$E$5,SIH!J25)),MAX($I$1:I24)+1,0)</f>
        <v>24</v>
      </c>
      <c r="J25" t="s">
        <v>314</v>
      </c>
      <c r="L25" t="str">
        <f>IFERROR(VLOOKUP(ROWS($L$1:L24),$I$2:$J$50,2,FALSE),"")</f>
        <v>Industri Air Mineral dalam Botol</v>
      </c>
    </row>
    <row r="26" spans="1:12" x14ac:dyDescent="0.3">
      <c r="A26" s="3" t="s">
        <v>315</v>
      </c>
      <c r="B26" s="10"/>
      <c r="C26" s="10" t="s">
        <v>274</v>
      </c>
      <c r="D26" s="10">
        <v>26</v>
      </c>
      <c r="E26" s="10" t="s">
        <v>354</v>
      </c>
      <c r="F26" s="10" t="s">
        <v>331</v>
      </c>
      <c r="G26" s="3"/>
      <c r="I26">
        <f>IF(ISNUMBER(SEARCH('Status Emisi'!$E$5,SIH!J26)),MAX($I$1:I25)+1,0)</f>
        <v>25</v>
      </c>
      <c r="J26" t="s">
        <v>315</v>
      </c>
      <c r="L26" t="str">
        <f>IFERROR(VLOOKUP(ROWS($L$1:L25),$I$2:$J$50,2,FALSE),"")</f>
        <v>Industri Air Mineral dalam Galon</v>
      </c>
    </row>
    <row r="27" spans="1:12" x14ac:dyDescent="0.3">
      <c r="A27" s="3" t="s">
        <v>275</v>
      </c>
      <c r="B27" s="10" t="s">
        <v>247</v>
      </c>
      <c r="C27" s="10" t="s">
        <v>254</v>
      </c>
      <c r="D27" s="10">
        <v>600</v>
      </c>
      <c r="E27" s="10" t="s">
        <v>355</v>
      </c>
      <c r="F27" s="10" t="s">
        <v>331</v>
      </c>
      <c r="G27" s="3"/>
      <c r="I27">
        <f>IF(ISNUMBER(SEARCH('Status Emisi'!$E$5,SIH!J27)),MAX($I$1:I26)+1,0)</f>
        <v>26</v>
      </c>
      <c r="J27" t="s">
        <v>275</v>
      </c>
      <c r="L27" t="str">
        <f>IFERROR(VLOOKUP(ROWS($L$1:L26),$I$2:$J$50,2,FALSE),"")</f>
        <v>Kemasan dari Kaca</v>
      </c>
    </row>
    <row r="28" spans="1:12" x14ac:dyDescent="0.3">
      <c r="A28" s="3" t="s">
        <v>276</v>
      </c>
      <c r="B28" s="10" t="s">
        <v>247</v>
      </c>
      <c r="C28" s="10" t="s">
        <v>254</v>
      </c>
      <c r="D28" s="10">
        <v>1400</v>
      </c>
      <c r="E28" s="10" t="s">
        <v>356</v>
      </c>
      <c r="F28" s="10" t="s">
        <v>331</v>
      </c>
      <c r="G28" s="3"/>
      <c r="I28">
        <f>IF(ISNUMBER(SEARCH('Status Emisi'!$E$5,SIH!J28)),MAX($I$1:I27)+1,0)</f>
        <v>27</v>
      </c>
      <c r="J28" t="s">
        <v>276</v>
      </c>
      <c r="L28" t="str">
        <f>IFERROR(VLOOKUP(ROWS($L$1:L27),$I$2:$J$50,2,FALSE),"")</f>
        <v>Kertas dan Papan Kertas Bergelombang</v>
      </c>
    </row>
    <row r="29" spans="1:12" x14ac:dyDescent="0.3">
      <c r="A29" s="3" t="s">
        <v>277</v>
      </c>
      <c r="B29" s="10" t="s">
        <v>247</v>
      </c>
      <c r="C29" s="10" t="s">
        <v>254</v>
      </c>
      <c r="D29" s="10">
        <v>58</v>
      </c>
      <c r="E29" s="10" t="s">
        <v>357</v>
      </c>
      <c r="F29" s="10" t="s">
        <v>331</v>
      </c>
      <c r="G29" s="3"/>
      <c r="I29">
        <f>IF(ISNUMBER(SEARCH('Status Emisi'!$E$5,SIH!J29)),MAX($I$1:I28)+1,0)</f>
        <v>28</v>
      </c>
      <c r="J29" t="s">
        <v>277</v>
      </c>
      <c r="L29" t="str">
        <f>IFERROR(VLOOKUP(ROWS($L$1:L28),$I$2:$J$50,2,FALSE),"")</f>
        <v>Cat Berbasis Pelarut Organik</v>
      </c>
    </row>
    <row r="30" spans="1:12" ht="16.2" x14ac:dyDescent="0.3">
      <c r="A30" s="3" t="s">
        <v>316</v>
      </c>
      <c r="B30" s="10" t="s">
        <v>247</v>
      </c>
      <c r="C30" s="10" t="s">
        <v>278</v>
      </c>
      <c r="D30" s="10">
        <v>66</v>
      </c>
      <c r="E30" s="10" t="s">
        <v>358</v>
      </c>
      <c r="F30" s="10" t="s">
        <v>333</v>
      </c>
      <c r="G30" s="10" t="s">
        <v>279</v>
      </c>
      <c r="I30">
        <f>IF(ISNUMBER(SEARCH('Status Emisi'!$E$5,SIH!J30)),MAX($I$1:I29)+1,0)</f>
        <v>29</v>
      </c>
      <c r="J30" t="s">
        <v>316</v>
      </c>
      <c r="L30" t="str">
        <f>IFERROR(VLOOKUP(ROWS($L$1:L29),$I$2:$J$50,2,FALSE),"")</f>
        <v>Kaca Pengaman Berlapis Kendaraan Besar</v>
      </c>
    </row>
    <row r="31" spans="1:12" ht="16.2" x14ac:dyDescent="0.3">
      <c r="A31" s="3" t="s">
        <v>317</v>
      </c>
      <c r="B31" s="10"/>
      <c r="C31" s="10" t="s">
        <v>280</v>
      </c>
      <c r="D31" s="10">
        <v>9</v>
      </c>
      <c r="E31" s="10" t="s">
        <v>358</v>
      </c>
      <c r="F31" s="10" t="s">
        <v>333</v>
      </c>
      <c r="G31" s="10" t="s">
        <v>279</v>
      </c>
      <c r="I31">
        <f>IF(ISNUMBER(SEARCH('Status Emisi'!$E$5,SIH!J31)),MAX($I$1:I30)+1,0)</f>
        <v>30</v>
      </c>
      <c r="J31" t="s">
        <v>317</v>
      </c>
      <c r="L31" t="str">
        <f>IFERROR(VLOOKUP(ROWS($L$1:L30),$I$2:$J$50,2,FALSE),"")</f>
        <v>Kaca Pengaman Berlapis Kendaraan Kecil</v>
      </c>
    </row>
    <row r="32" spans="1:12" ht="16.2" x14ac:dyDescent="0.3">
      <c r="A32" s="3" t="s">
        <v>318</v>
      </c>
      <c r="B32" s="10"/>
      <c r="C32" s="10" t="s">
        <v>281</v>
      </c>
      <c r="D32" s="10">
        <v>10</v>
      </c>
      <c r="E32" s="10" t="s">
        <v>358</v>
      </c>
      <c r="F32" s="10" t="s">
        <v>333</v>
      </c>
      <c r="G32" s="10" t="s">
        <v>279</v>
      </c>
      <c r="I32">
        <f>IF(ISNUMBER(SEARCH('Status Emisi'!$E$5,SIH!J32)),MAX($I$1:I31)+1,0)</f>
        <v>31</v>
      </c>
      <c r="J32" t="s">
        <v>318</v>
      </c>
      <c r="L32" t="str">
        <f>IFERROR(VLOOKUP(ROWS($L$1:L31),$I$2:$J$50,2,FALSE),"")</f>
        <v>Kaca Pengaman Berlapis Bangunan</v>
      </c>
    </row>
    <row r="33" spans="1:12" ht="16.2" x14ac:dyDescent="0.3">
      <c r="A33" s="3" t="s">
        <v>319</v>
      </c>
      <c r="B33" s="10" t="s">
        <v>247</v>
      </c>
      <c r="C33" s="10" t="s">
        <v>278</v>
      </c>
      <c r="D33" s="10">
        <v>23</v>
      </c>
      <c r="E33" s="10" t="s">
        <v>359</v>
      </c>
      <c r="F33" s="10" t="s">
        <v>333</v>
      </c>
      <c r="G33" s="10" t="s">
        <v>279</v>
      </c>
      <c r="I33">
        <f>IF(ISNUMBER(SEARCH('Status Emisi'!$E$5,SIH!J33)),MAX($I$1:I32)+1,0)</f>
        <v>32</v>
      </c>
      <c r="J33" t="s">
        <v>319</v>
      </c>
      <c r="L33" t="str">
        <f>IFERROR(VLOOKUP(ROWS($L$1:L32),$I$2:$J$50,2,FALSE),"")</f>
        <v>Industri Kaca Pengaman Diperkeras/Tempered Kendaraan Besar</v>
      </c>
    </row>
    <row r="34" spans="1:12" ht="16.2" x14ac:dyDescent="0.3">
      <c r="A34" s="3" t="s">
        <v>320</v>
      </c>
      <c r="B34" s="10"/>
      <c r="C34" s="10" t="s">
        <v>280</v>
      </c>
      <c r="D34" s="10">
        <v>14.5</v>
      </c>
      <c r="E34" s="10" t="s">
        <v>359</v>
      </c>
      <c r="F34" s="10" t="s">
        <v>333</v>
      </c>
      <c r="G34" s="10" t="s">
        <v>279</v>
      </c>
      <c r="I34">
        <f>IF(ISNUMBER(SEARCH('Status Emisi'!$E$5,SIH!J34)),MAX($I$1:I33)+1,0)</f>
        <v>33</v>
      </c>
      <c r="J34" t="s">
        <v>320</v>
      </c>
      <c r="L34" t="str">
        <f>IFERROR(VLOOKUP(ROWS($L$1:L33),$I$2:$J$50,2,FALSE),"")</f>
        <v>Industri Kaca Pengaman Diperkeras/Tempered Kendaraan Kecil</v>
      </c>
    </row>
    <row r="35" spans="1:12" ht="16.2" x14ac:dyDescent="0.3">
      <c r="A35" s="3" t="s">
        <v>321</v>
      </c>
      <c r="B35" s="10"/>
      <c r="C35" s="10" t="s">
        <v>281</v>
      </c>
      <c r="D35" s="10">
        <v>32</v>
      </c>
      <c r="E35" s="10" t="s">
        <v>359</v>
      </c>
      <c r="F35" s="10" t="s">
        <v>333</v>
      </c>
      <c r="G35" s="10" t="s">
        <v>279</v>
      </c>
      <c r="I35">
        <f>IF(ISNUMBER(SEARCH('Status Emisi'!$E$5,SIH!J35)),MAX($I$1:I34)+1,0)</f>
        <v>34</v>
      </c>
      <c r="J35" t="s">
        <v>321</v>
      </c>
      <c r="L35" t="str">
        <f>IFERROR(VLOOKUP(ROWS($L$1:L34),$I$2:$J$50,2,FALSE),"")</f>
        <v>Industri Kaca Pengaman Diperkeras/Tempered Bangunan</v>
      </c>
    </row>
    <row r="36" spans="1:12" x14ac:dyDescent="0.3">
      <c r="A36" s="3" t="s">
        <v>282</v>
      </c>
      <c r="B36" s="10" t="s">
        <v>247</v>
      </c>
      <c r="C36" s="10" t="s">
        <v>254</v>
      </c>
      <c r="D36" s="10">
        <v>18.13</v>
      </c>
      <c r="E36" s="10" t="s">
        <v>360</v>
      </c>
      <c r="F36" s="10" t="s">
        <v>331</v>
      </c>
      <c r="G36" s="3"/>
      <c r="I36">
        <f>IF(ISNUMBER(SEARCH('Status Emisi'!$E$5,SIH!J36)),MAX($I$1:I35)+1,0)</f>
        <v>35</v>
      </c>
      <c r="J36" t="s">
        <v>282</v>
      </c>
      <c r="L36" t="str">
        <f>IFERROR(VLOOKUP(ROWS($L$1:L35),$I$2:$J$50,2,FALSE),"")</f>
        <v>Ribbed Smoked Sheet Rubber</v>
      </c>
    </row>
    <row r="37" spans="1:12" x14ac:dyDescent="0.3">
      <c r="A37" s="3" t="s">
        <v>322</v>
      </c>
      <c r="B37" s="10" t="s">
        <v>247</v>
      </c>
      <c r="C37" s="10" t="s">
        <v>283</v>
      </c>
      <c r="D37" s="10">
        <v>350</v>
      </c>
      <c r="E37" s="10" t="s">
        <v>361</v>
      </c>
      <c r="F37" s="10" t="s">
        <v>331</v>
      </c>
      <c r="G37" s="10" t="s">
        <v>284</v>
      </c>
      <c r="I37">
        <f>IF(ISNUMBER(SEARCH('Status Emisi'!$E$5,SIH!J37)),MAX($I$1:I36)+1,0)</f>
        <v>36</v>
      </c>
      <c r="J37" t="s">
        <v>322</v>
      </c>
      <c r="L37" t="str">
        <f>IFERROR(VLOOKUP(ROWS($L$1:L36),$I$2:$J$50,2,FALSE),"")</f>
        <v>Bubur Kertas Pulp</v>
      </c>
    </row>
    <row r="38" spans="1:12" x14ac:dyDescent="0.3">
      <c r="A38" s="3" t="s">
        <v>323</v>
      </c>
      <c r="B38" s="10" t="s">
        <v>247</v>
      </c>
      <c r="C38" s="10" t="s">
        <v>285</v>
      </c>
      <c r="D38" s="10">
        <v>1500</v>
      </c>
      <c r="E38" s="10" t="s">
        <v>361</v>
      </c>
      <c r="F38" s="10" t="s">
        <v>331</v>
      </c>
      <c r="G38" s="10" t="s">
        <v>286</v>
      </c>
      <c r="I38">
        <f>IF(ISNUMBER(SEARCH('Status Emisi'!$E$5,SIH!J38)),MAX($I$1:I37)+1,0)</f>
        <v>37</v>
      </c>
      <c r="J38" t="s">
        <v>323</v>
      </c>
      <c r="L38" t="str">
        <f>IFERROR(VLOOKUP(ROWS($L$1:L37),$I$2:$J$50,2,FALSE),"")</f>
        <v>Bubur Kertas Pulp terintegrasi Kertas</v>
      </c>
    </row>
    <row r="39" spans="1:12" x14ac:dyDescent="0.3">
      <c r="A39" s="3" t="s">
        <v>287</v>
      </c>
      <c r="B39" s="10" t="s">
        <v>247</v>
      </c>
      <c r="C39" s="10" t="s">
        <v>254</v>
      </c>
      <c r="D39" s="10">
        <v>2030</v>
      </c>
      <c r="E39" s="10" t="s">
        <v>362</v>
      </c>
      <c r="F39" s="10" t="s">
        <v>331</v>
      </c>
      <c r="G39" s="3"/>
      <c r="I39">
        <f>IF(ISNUMBER(SEARCH('Status Emisi'!$E$5,SIH!J39)),MAX($I$1:I38)+1,0)</f>
        <v>38</v>
      </c>
      <c r="J39" t="s">
        <v>287</v>
      </c>
      <c r="L39" t="str">
        <f>IFERROR(VLOOKUP(ROWS($L$1:L38),$I$2:$J$50,2,FALSE),"")</f>
        <v>Tekstil Pencelupan, Pencapan, dan Penyempurnaan</v>
      </c>
    </row>
    <row r="40" spans="1:12" x14ac:dyDescent="0.3">
      <c r="A40" s="3" t="s">
        <v>288</v>
      </c>
      <c r="B40" s="10" t="s">
        <v>247</v>
      </c>
      <c r="C40" s="10" t="s">
        <v>254</v>
      </c>
      <c r="D40" s="10">
        <v>58</v>
      </c>
      <c r="E40" s="10" t="s">
        <v>363</v>
      </c>
      <c r="F40" s="10" t="s">
        <v>331</v>
      </c>
      <c r="G40" s="3"/>
      <c r="I40">
        <f>IF(ISNUMBER(SEARCH('Status Emisi'!$E$5,SIH!J40)),MAX($I$1:I39)+1,0)</f>
        <v>39</v>
      </c>
      <c r="J40" t="s">
        <v>288</v>
      </c>
      <c r="L40" t="str">
        <f>IFERROR(VLOOKUP(ROWS($L$1:L39),$I$2:$J$50,2,FALSE),"")</f>
        <v>Cat Berbasis Air</v>
      </c>
    </row>
    <row r="41" spans="1:12" ht="16.2" x14ac:dyDescent="0.3">
      <c r="A41" s="3" t="s">
        <v>289</v>
      </c>
      <c r="B41" s="10" t="s">
        <v>247</v>
      </c>
      <c r="C41" s="10" t="s">
        <v>254</v>
      </c>
      <c r="D41" s="10">
        <v>1.58</v>
      </c>
      <c r="E41" s="10" t="s">
        <v>364</v>
      </c>
      <c r="F41" s="10" t="s">
        <v>333</v>
      </c>
      <c r="G41" s="10" t="s">
        <v>279</v>
      </c>
      <c r="I41">
        <f>IF(ISNUMBER(SEARCH('Status Emisi'!$E$5,SIH!J41)),MAX($I$1:I40)+1,0)</f>
        <v>40</v>
      </c>
      <c r="J41" t="s">
        <v>289</v>
      </c>
      <c r="L41" t="str">
        <f>IFERROR(VLOOKUP(ROWS($L$1:L40),$I$2:$J$50,2,FALSE),"")</f>
        <v>Batik</v>
      </c>
    </row>
    <row r="42" spans="1:12" x14ac:dyDescent="0.3">
      <c r="A42" s="3" t="s">
        <v>290</v>
      </c>
      <c r="B42" s="10" t="s">
        <v>247</v>
      </c>
      <c r="C42" s="10" t="s">
        <v>254</v>
      </c>
      <c r="D42" s="10">
        <v>14000</v>
      </c>
      <c r="E42" s="10" t="s">
        <v>365</v>
      </c>
      <c r="F42" s="10" t="s">
        <v>331</v>
      </c>
      <c r="G42" s="3"/>
      <c r="I42">
        <f>IF(ISNUMBER(SEARCH('Status Emisi'!$E$5,SIH!J42)),MAX($I$1:I41)+1,0)</f>
        <v>41</v>
      </c>
      <c r="J42" t="s">
        <v>290</v>
      </c>
      <c r="L42" t="str">
        <f>IFERROR(VLOOKUP(ROWS($L$1:L41),$I$2:$J$50,2,FALSE),"")</f>
        <v>Kertas Budaya</v>
      </c>
    </row>
    <row r="43" spans="1:12" x14ac:dyDescent="0.3">
      <c r="A43" s="3" t="s">
        <v>324</v>
      </c>
      <c r="B43" s="10" t="s">
        <v>247</v>
      </c>
      <c r="C43" s="10" t="s">
        <v>291</v>
      </c>
      <c r="D43" s="10">
        <v>155</v>
      </c>
      <c r="E43" s="10" t="s">
        <v>366</v>
      </c>
      <c r="F43" s="10" t="s">
        <v>331</v>
      </c>
      <c r="G43" s="3"/>
      <c r="I43">
        <f>IF(ISNUMBER(SEARCH('Status Emisi'!$E$5,SIH!J43)),MAX($I$1:I42)+1,0)</f>
        <v>42</v>
      </c>
      <c r="J43" t="s">
        <v>324</v>
      </c>
      <c r="L43" t="str">
        <f>IFERROR(VLOOKUP(ROWS($L$1:L42),$I$2:$J$50,2,FALSE),"")</f>
        <v>Minyak Goreng dari Kelapa Sawit, energi Batubara</v>
      </c>
    </row>
    <row r="44" spans="1:12" x14ac:dyDescent="0.3">
      <c r="A44" s="3" t="s">
        <v>325</v>
      </c>
      <c r="B44" s="10"/>
      <c r="C44" s="10" t="s">
        <v>211</v>
      </c>
      <c r="D44" s="10">
        <v>0</v>
      </c>
      <c r="E44" s="10" t="s">
        <v>366</v>
      </c>
      <c r="F44" s="10" t="s">
        <v>331</v>
      </c>
      <c r="G44" s="3"/>
      <c r="I44">
        <f>IF(ISNUMBER(SEARCH('Status Emisi'!$E$5,SIH!J44)),MAX($I$1:I43)+1,0)</f>
        <v>43</v>
      </c>
      <c r="J44" t="s">
        <v>325</v>
      </c>
      <c r="L44" t="str">
        <f>IFERROR(VLOOKUP(ROWS($L$1:L43),$I$2:$J$50,2,FALSE),"")</f>
        <v>Minyak Goreng dari Kelapa Sawit, energi Biomassa</v>
      </c>
    </row>
    <row r="45" spans="1:12" x14ac:dyDescent="0.3">
      <c r="A45" s="3" t="s">
        <v>326</v>
      </c>
      <c r="B45" s="10"/>
      <c r="C45" s="10" t="s">
        <v>292</v>
      </c>
      <c r="D45" s="10">
        <v>150</v>
      </c>
      <c r="E45" s="10" t="s">
        <v>366</v>
      </c>
      <c r="F45" s="10" t="s">
        <v>331</v>
      </c>
      <c r="G45" s="3"/>
      <c r="I45">
        <f>IF(ISNUMBER(SEARCH('Status Emisi'!$E$5,SIH!J45)),MAX($I$1:I44)+1,0)</f>
        <v>44</v>
      </c>
      <c r="J45" t="s">
        <v>326</v>
      </c>
      <c r="L45" t="str">
        <f>IFERROR(VLOOKUP(ROWS($L$1:L44),$I$2:$J$50,2,FALSE),"")</f>
        <v>Minyak Goreng dari Kelapa Sawit, energi Gas</v>
      </c>
    </row>
    <row r="46" spans="1:12" x14ac:dyDescent="0.3">
      <c r="A46" s="3" t="s">
        <v>327</v>
      </c>
      <c r="B46" s="10" t="s">
        <v>247</v>
      </c>
      <c r="C46" s="10" t="s">
        <v>293</v>
      </c>
      <c r="D46" s="10">
        <v>750</v>
      </c>
      <c r="E46" s="10" t="s">
        <v>367</v>
      </c>
      <c r="F46" s="10" t="s">
        <v>331</v>
      </c>
      <c r="G46" s="3"/>
      <c r="I46">
        <f>IF(ISNUMBER(SEARCH('Status Emisi'!$E$5,SIH!J46)),MAX($I$1:I45)+1,0)</f>
        <v>45</v>
      </c>
      <c r="J46" t="s">
        <v>327</v>
      </c>
      <c r="L46" t="str">
        <f>IFERROR(VLOOKUP(ROWS($L$1:L45),$I$2:$J$50,2,FALSE),"")</f>
        <v>Industri Semen Portland Cementitious</v>
      </c>
    </row>
    <row r="47" spans="1:12" x14ac:dyDescent="0.3">
      <c r="A47" s="3" t="s">
        <v>294</v>
      </c>
      <c r="B47" s="10" t="s">
        <v>247</v>
      </c>
      <c r="C47" s="10"/>
      <c r="D47" s="10">
        <v>1600</v>
      </c>
      <c r="E47" s="10" t="s">
        <v>368</v>
      </c>
      <c r="F47" s="10" t="s">
        <v>331</v>
      </c>
      <c r="G47" s="3"/>
      <c r="I47">
        <f>IF(ISNUMBER(SEARCH('Status Emisi'!$E$5,SIH!J47)),MAX($I$1:I46)+1,0)</f>
        <v>46</v>
      </c>
      <c r="J47" t="s">
        <v>294</v>
      </c>
      <c r="L47" t="str">
        <f>IFERROR(VLOOKUP(ROWS($L$1:L46),$I$2:$J$50,2,FALSE),"")</f>
        <v>Pupuk Urea, Pupuk SP-36, dan Pupuk Amonium Sulfat</v>
      </c>
    </row>
    <row r="48" spans="1:12" x14ac:dyDescent="0.3">
      <c r="A48" s="3" t="s">
        <v>328</v>
      </c>
      <c r="B48" s="10" t="s">
        <v>247</v>
      </c>
      <c r="C48" s="10" t="s">
        <v>295</v>
      </c>
      <c r="D48" s="10">
        <v>800</v>
      </c>
      <c r="E48" s="10" t="s">
        <v>369</v>
      </c>
      <c r="F48" s="10" t="s">
        <v>331</v>
      </c>
      <c r="G48" s="3"/>
      <c r="I48">
        <f>IF(ISNUMBER(SEARCH('Status Emisi'!$E$5,SIH!J48)),MAX($I$1:I47)+1,0)</f>
        <v>47</v>
      </c>
      <c r="J48" t="s">
        <v>328</v>
      </c>
      <c r="L48" t="str">
        <f>IFERROR(VLOOKUP(ROWS($L$1:L47),$I$2:$J$50,2,FALSE),"")</f>
        <v>Pengolahan Susu Bubuk dengan Evaporasi &amp; Spray Drying</v>
      </c>
    </row>
    <row r="49" spans="1:12" x14ac:dyDescent="0.3">
      <c r="A49" s="3" t="s">
        <v>329</v>
      </c>
      <c r="B49" s="10"/>
      <c r="C49" s="10" t="s">
        <v>296</v>
      </c>
      <c r="D49" s="10">
        <v>600</v>
      </c>
      <c r="E49" s="10" t="s">
        <v>369</v>
      </c>
      <c r="F49" s="10" t="s">
        <v>331</v>
      </c>
      <c r="G49" s="3"/>
      <c r="I49">
        <f>IF(ISNUMBER(SEARCH('Status Emisi'!$E$5,SIH!J49)),MAX($I$1:I48)+1,0)</f>
        <v>48</v>
      </c>
      <c r="J49" t="s">
        <v>329</v>
      </c>
      <c r="L49" t="str">
        <f>IFERROR(VLOOKUP(ROWS($L$1:L48),$I$2:$J$50,2,FALSE),"")</f>
        <v>Pengolahan Susu Bubuk dengan Non Evaporasi &amp; Spray Drying</v>
      </c>
    </row>
    <row r="50" spans="1:12" x14ac:dyDescent="0.3">
      <c r="A50" s="3" t="s">
        <v>330</v>
      </c>
      <c r="B50" s="10"/>
      <c r="C50" s="10" t="s">
        <v>297</v>
      </c>
      <c r="D50" s="10">
        <v>200</v>
      </c>
      <c r="E50" s="10" t="s">
        <v>369</v>
      </c>
      <c r="F50" s="10" t="s">
        <v>331</v>
      </c>
      <c r="G50" s="3"/>
      <c r="I50">
        <f>IF(ISNUMBER(SEARCH('Status Emisi'!$E$5,SIH!J50)),MAX($I$1:I49)+1,0)</f>
        <v>49</v>
      </c>
      <c r="J50" t="s">
        <v>330</v>
      </c>
      <c r="L50" t="str">
        <f>IFERROR(VLOOKUP(ROWS($L$1:L49),$I$2:$J$50,2,FALSE),"")</f>
        <v>Pengolahan Susu Bubuk dengan Dry Blending</v>
      </c>
    </row>
  </sheetData>
  <pageMargins left="0.7" right="0.7" top="0.75" bottom="0.75" header="0.3" footer="0.3"/>
  <pageSetup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902F3-EE90-4D08-9C66-B745190BB6F6}">
  <sheetPr codeName="Sheet2"/>
  <dimension ref="A1:F53"/>
  <sheetViews>
    <sheetView workbookViewId="0">
      <selection activeCell="A36" sqref="A36"/>
    </sheetView>
  </sheetViews>
  <sheetFormatPr defaultRowHeight="14.4" x14ac:dyDescent="0.3"/>
  <cols>
    <col min="1" max="1" width="25.109375" customWidth="1"/>
    <col min="2" max="4" width="10.6640625" customWidth="1"/>
  </cols>
  <sheetData>
    <row r="1" spans="1:4" ht="27" customHeight="1" x14ac:dyDescent="0.3">
      <c r="A1" s="160" t="s">
        <v>0</v>
      </c>
      <c r="B1" s="161" t="s">
        <v>24</v>
      </c>
      <c r="C1" s="161"/>
      <c r="D1" s="161"/>
    </row>
    <row r="2" spans="1:4" ht="15.6" x14ac:dyDescent="0.3">
      <c r="A2" s="160"/>
      <c r="B2" s="7" t="s">
        <v>138</v>
      </c>
      <c r="C2" s="7" t="s">
        <v>139</v>
      </c>
      <c r="D2" s="7" t="s">
        <v>140</v>
      </c>
    </row>
    <row r="3" spans="1:4" x14ac:dyDescent="0.3">
      <c r="A3" s="15" t="s">
        <v>23</v>
      </c>
      <c r="B3" s="4">
        <v>73300</v>
      </c>
      <c r="C3" s="4">
        <v>3</v>
      </c>
      <c r="D3" s="5">
        <v>0.6</v>
      </c>
    </row>
    <row r="4" spans="1:4" x14ac:dyDescent="0.3">
      <c r="A4" s="15" t="s">
        <v>151</v>
      </c>
      <c r="B4" s="4">
        <v>77000</v>
      </c>
      <c r="C4" s="4">
        <v>3</v>
      </c>
      <c r="D4" s="5">
        <v>0.6</v>
      </c>
    </row>
    <row r="5" spans="1:4" x14ac:dyDescent="0.3">
      <c r="A5" s="15" t="s">
        <v>193</v>
      </c>
      <c r="B5" s="4">
        <v>64200</v>
      </c>
      <c r="C5" s="4">
        <v>3</v>
      </c>
      <c r="D5" s="5">
        <v>0.6</v>
      </c>
    </row>
    <row r="6" spans="1:4" x14ac:dyDescent="0.3">
      <c r="A6" s="15" t="s">
        <v>1</v>
      </c>
      <c r="B6" s="4">
        <v>69300</v>
      </c>
      <c r="C6" s="4">
        <v>3</v>
      </c>
      <c r="D6" s="5">
        <v>0.6</v>
      </c>
    </row>
    <row r="7" spans="1:4" x14ac:dyDescent="0.3">
      <c r="A7" s="15" t="s">
        <v>202</v>
      </c>
      <c r="B7" s="4">
        <v>69300</v>
      </c>
      <c r="C7" s="4">
        <v>3</v>
      </c>
      <c r="D7" s="5">
        <v>0.6</v>
      </c>
    </row>
    <row r="8" spans="1:4" x14ac:dyDescent="0.3">
      <c r="A8" s="15" t="s">
        <v>201</v>
      </c>
      <c r="B8" s="4">
        <v>69300</v>
      </c>
      <c r="C8" s="4">
        <v>3</v>
      </c>
      <c r="D8" s="5">
        <v>0.6</v>
      </c>
    </row>
    <row r="9" spans="1:4" x14ac:dyDescent="0.3">
      <c r="A9" s="15" t="s">
        <v>203</v>
      </c>
      <c r="B9" s="4">
        <v>69300</v>
      </c>
      <c r="C9" s="4">
        <v>3</v>
      </c>
      <c r="D9" s="5">
        <v>0.6</v>
      </c>
    </row>
    <row r="10" spans="1:4" x14ac:dyDescent="0.3">
      <c r="A10" s="15" t="s">
        <v>25</v>
      </c>
      <c r="B10" s="4">
        <v>70000</v>
      </c>
      <c r="C10" s="4">
        <v>3</v>
      </c>
      <c r="D10" s="5">
        <v>0.6</v>
      </c>
    </row>
    <row r="11" spans="1:4" x14ac:dyDescent="0.3">
      <c r="A11" s="15" t="s">
        <v>26</v>
      </c>
      <c r="B11" s="4">
        <v>70000</v>
      </c>
      <c r="C11" s="4">
        <v>3</v>
      </c>
      <c r="D11" s="5">
        <v>0.6</v>
      </c>
    </row>
    <row r="12" spans="1:4" x14ac:dyDescent="0.3">
      <c r="A12" s="15" t="s">
        <v>152</v>
      </c>
      <c r="B12" s="6">
        <v>71500</v>
      </c>
      <c r="C12" s="4">
        <v>3</v>
      </c>
      <c r="D12" s="5">
        <v>0.6</v>
      </c>
    </row>
    <row r="13" spans="1:4" x14ac:dyDescent="0.3">
      <c r="A13" s="15" t="s">
        <v>153</v>
      </c>
      <c r="B13" s="4">
        <v>71900</v>
      </c>
      <c r="C13" s="4">
        <v>3</v>
      </c>
      <c r="D13" s="5">
        <v>0.6</v>
      </c>
    </row>
    <row r="14" spans="1:4" x14ac:dyDescent="0.3">
      <c r="A14" s="15" t="s">
        <v>154</v>
      </c>
      <c r="B14" s="4">
        <v>73300</v>
      </c>
      <c r="C14" s="4">
        <v>3</v>
      </c>
      <c r="D14" s="5">
        <v>0.6</v>
      </c>
    </row>
    <row r="15" spans="1:4" x14ac:dyDescent="0.3">
      <c r="A15" s="15" t="s">
        <v>155</v>
      </c>
      <c r="B15" s="4">
        <v>74100</v>
      </c>
      <c r="C15" s="4">
        <v>3</v>
      </c>
      <c r="D15" s="5">
        <v>0.6</v>
      </c>
    </row>
    <row r="16" spans="1:4" x14ac:dyDescent="0.3">
      <c r="A16" s="15" t="s">
        <v>156</v>
      </c>
      <c r="B16" s="4">
        <v>77400</v>
      </c>
      <c r="C16" s="4">
        <v>3</v>
      </c>
      <c r="D16" s="5">
        <v>0.6</v>
      </c>
    </row>
    <row r="17" spans="1:4" x14ac:dyDescent="0.3">
      <c r="A17" s="15" t="s">
        <v>3</v>
      </c>
      <c r="B17" s="4">
        <v>63100</v>
      </c>
      <c r="C17" s="4">
        <v>1</v>
      </c>
      <c r="D17" s="5">
        <v>0.1</v>
      </c>
    </row>
    <row r="18" spans="1:4" x14ac:dyDescent="0.3">
      <c r="A18" s="15" t="s">
        <v>157</v>
      </c>
      <c r="B18" s="4">
        <v>61600</v>
      </c>
      <c r="C18" s="4">
        <v>1</v>
      </c>
      <c r="D18" s="5">
        <v>0.1</v>
      </c>
    </row>
    <row r="19" spans="1:4" x14ac:dyDescent="0.3">
      <c r="A19" s="15" t="s">
        <v>158</v>
      </c>
      <c r="B19" s="4">
        <v>73300</v>
      </c>
      <c r="C19" s="4">
        <v>3</v>
      </c>
      <c r="D19" s="5">
        <v>0.6</v>
      </c>
    </row>
    <row r="20" spans="1:4" x14ac:dyDescent="0.3">
      <c r="A20" s="15" t="s">
        <v>159</v>
      </c>
      <c r="B20" s="4">
        <v>80700</v>
      </c>
      <c r="C20" s="4">
        <v>3</v>
      </c>
      <c r="D20" s="5">
        <v>0.6</v>
      </c>
    </row>
    <row r="21" spans="1:4" x14ac:dyDescent="0.3">
      <c r="A21" s="15" t="s">
        <v>160</v>
      </c>
      <c r="B21" s="4">
        <v>73300</v>
      </c>
      <c r="C21" s="4">
        <v>3</v>
      </c>
      <c r="D21" s="5">
        <v>0.6</v>
      </c>
    </row>
    <row r="22" spans="1:4" x14ac:dyDescent="0.3">
      <c r="A22" s="15" t="s">
        <v>161</v>
      </c>
      <c r="B22" s="4">
        <v>97500</v>
      </c>
      <c r="C22" s="4">
        <v>3</v>
      </c>
      <c r="D22" s="5">
        <v>0.6</v>
      </c>
    </row>
    <row r="23" spans="1:4" x14ac:dyDescent="0.3">
      <c r="A23" s="15" t="s">
        <v>162</v>
      </c>
      <c r="B23" s="4">
        <v>73300</v>
      </c>
      <c r="C23" s="4">
        <v>3</v>
      </c>
      <c r="D23" s="5">
        <v>0.6</v>
      </c>
    </row>
    <row r="24" spans="1:4" x14ac:dyDescent="0.3">
      <c r="A24" s="15" t="s">
        <v>163</v>
      </c>
      <c r="B24" s="4">
        <v>57600</v>
      </c>
      <c r="C24" s="4">
        <v>1</v>
      </c>
      <c r="D24" s="5">
        <v>0.1</v>
      </c>
    </row>
    <row r="25" spans="1:4" x14ac:dyDescent="0.3">
      <c r="A25" s="15" t="s">
        <v>164</v>
      </c>
      <c r="B25" s="4">
        <v>73300</v>
      </c>
      <c r="C25" s="4">
        <v>3</v>
      </c>
      <c r="D25" s="5">
        <v>0.6</v>
      </c>
    </row>
    <row r="26" spans="1:4" x14ac:dyDescent="0.3">
      <c r="A26" s="15" t="s">
        <v>165</v>
      </c>
      <c r="B26" s="4">
        <v>73300</v>
      </c>
      <c r="C26" s="4">
        <v>3</v>
      </c>
      <c r="D26" s="5">
        <v>0.6</v>
      </c>
    </row>
    <row r="27" spans="1:4" x14ac:dyDescent="0.3">
      <c r="A27" s="15" t="s">
        <v>166</v>
      </c>
      <c r="B27" s="4">
        <v>98300</v>
      </c>
      <c r="C27" s="4">
        <v>1</v>
      </c>
      <c r="D27" s="5">
        <v>1.5</v>
      </c>
    </row>
    <row r="28" spans="1:4" x14ac:dyDescent="0.3">
      <c r="A28" s="15" t="s">
        <v>167</v>
      </c>
      <c r="B28" s="4">
        <v>94600</v>
      </c>
      <c r="C28" s="4">
        <v>1</v>
      </c>
      <c r="D28" s="5">
        <v>1.5</v>
      </c>
    </row>
    <row r="29" spans="1:4" x14ac:dyDescent="0.3">
      <c r="A29" s="15" t="s">
        <v>168</v>
      </c>
      <c r="B29" s="6">
        <v>94600</v>
      </c>
      <c r="C29" s="4">
        <v>1</v>
      </c>
      <c r="D29" s="5">
        <v>1.5</v>
      </c>
    </row>
    <row r="30" spans="1:4" x14ac:dyDescent="0.3">
      <c r="A30" s="15" t="s">
        <v>169</v>
      </c>
      <c r="B30" s="4">
        <v>96100</v>
      </c>
      <c r="C30" s="4">
        <v>1</v>
      </c>
      <c r="D30" s="5">
        <v>1.5</v>
      </c>
    </row>
    <row r="31" spans="1:4" x14ac:dyDescent="0.3">
      <c r="A31" s="15" t="s">
        <v>170</v>
      </c>
      <c r="B31" s="4">
        <v>101000</v>
      </c>
      <c r="C31" s="4">
        <v>1</v>
      </c>
      <c r="D31" s="5">
        <v>1.5</v>
      </c>
    </row>
    <row r="32" spans="1:4" x14ac:dyDescent="0.3">
      <c r="A32" s="15" t="s">
        <v>171</v>
      </c>
      <c r="B32" s="4">
        <v>107000</v>
      </c>
      <c r="C32" s="4">
        <v>1</v>
      </c>
      <c r="D32" s="5">
        <v>1.5</v>
      </c>
    </row>
    <row r="33" spans="1:4" x14ac:dyDescent="0.3">
      <c r="A33" s="15" t="s">
        <v>172</v>
      </c>
      <c r="B33" s="4">
        <v>97500</v>
      </c>
      <c r="C33" s="4">
        <v>1</v>
      </c>
      <c r="D33" s="5">
        <v>1.5</v>
      </c>
    </row>
    <row r="34" spans="1:4" x14ac:dyDescent="0.3">
      <c r="A34" s="15" t="s">
        <v>173</v>
      </c>
      <c r="B34" s="4">
        <v>107000</v>
      </c>
      <c r="C34" s="4">
        <v>1</v>
      </c>
      <c r="D34" s="5">
        <v>1.5</v>
      </c>
    </row>
    <row r="35" spans="1:4" x14ac:dyDescent="0.3">
      <c r="A35" s="15" t="s">
        <v>174</v>
      </c>
      <c r="B35" s="4">
        <v>107000</v>
      </c>
      <c r="C35" s="4">
        <v>1</v>
      </c>
      <c r="D35" s="5">
        <v>0.1</v>
      </c>
    </row>
    <row r="36" spans="1:4" x14ac:dyDescent="0.3">
      <c r="A36" s="15" t="s">
        <v>192</v>
      </c>
      <c r="B36" s="4">
        <v>80700</v>
      </c>
      <c r="C36" s="4">
        <v>1</v>
      </c>
      <c r="D36" s="5">
        <v>1.5</v>
      </c>
    </row>
    <row r="37" spans="1:4" x14ac:dyDescent="0.3">
      <c r="A37" s="15" t="s">
        <v>175</v>
      </c>
      <c r="B37" s="4">
        <v>44400</v>
      </c>
      <c r="C37" s="4">
        <v>1</v>
      </c>
      <c r="D37" s="5">
        <v>0.1</v>
      </c>
    </row>
    <row r="38" spans="1:4" x14ac:dyDescent="0.3">
      <c r="A38" s="15" t="s">
        <v>176</v>
      </c>
      <c r="B38" s="4">
        <v>44400</v>
      </c>
      <c r="C38" s="4">
        <v>1</v>
      </c>
      <c r="D38" s="5">
        <v>0.1</v>
      </c>
    </row>
    <row r="39" spans="1:4" x14ac:dyDescent="0.3">
      <c r="A39" s="15" t="s">
        <v>177</v>
      </c>
      <c r="B39" s="4">
        <v>260000</v>
      </c>
      <c r="C39" s="4">
        <v>1</v>
      </c>
      <c r="D39" s="5">
        <v>0.1</v>
      </c>
    </row>
    <row r="40" spans="1:4" x14ac:dyDescent="0.3">
      <c r="A40" s="15" t="s">
        <v>178</v>
      </c>
      <c r="B40" s="4">
        <v>182000</v>
      </c>
      <c r="C40" s="4">
        <v>1</v>
      </c>
      <c r="D40" s="5">
        <v>0.1</v>
      </c>
    </row>
    <row r="41" spans="1:4" x14ac:dyDescent="0.3">
      <c r="A41" s="15" t="s">
        <v>179</v>
      </c>
      <c r="B41" s="4">
        <v>56100</v>
      </c>
      <c r="C41" s="4">
        <v>1</v>
      </c>
      <c r="D41" s="5">
        <v>0.1</v>
      </c>
    </row>
    <row r="42" spans="1:4" x14ac:dyDescent="0.3">
      <c r="A42" s="15" t="s">
        <v>180</v>
      </c>
      <c r="B42" s="4">
        <v>91700</v>
      </c>
      <c r="C42" s="4">
        <v>30</v>
      </c>
      <c r="D42" s="5">
        <v>4</v>
      </c>
    </row>
    <row r="43" spans="1:4" x14ac:dyDescent="0.3">
      <c r="A43" s="15" t="s">
        <v>181</v>
      </c>
      <c r="B43" s="4">
        <v>73300</v>
      </c>
      <c r="C43" s="4">
        <v>30</v>
      </c>
      <c r="D43" s="5">
        <v>4</v>
      </c>
    </row>
    <row r="44" spans="1:4" x14ac:dyDescent="0.3">
      <c r="A44" s="15" t="s">
        <v>187</v>
      </c>
      <c r="B44" s="4">
        <v>70800</v>
      </c>
      <c r="C44" s="4">
        <v>3</v>
      </c>
      <c r="D44" s="5">
        <v>0.6</v>
      </c>
    </row>
    <row r="45" spans="1:4" x14ac:dyDescent="0.3">
      <c r="A45" s="15" t="s">
        <v>188</v>
      </c>
      <c r="B45" s="4">
        <v>70800</v>
      </c>
      <c r="C45" s="4">
        <v>3</v>
      </c>
      <c r="D45" s="5">
        <v>0.6</v>
      </c>
    </row>
    <row r="46" spans="1:4" x14ac:dyDescent="0.3">
      <c r="A46" s="15" t="s">
        <v>189</v>
      </c>
      <c r="B46" s="4">
        <v>54600</v>
      </c>
      <c r="C46" s="4">
        <v>1</v>
      </c>
      <c r="D46" s="5">
        <v>0.1</v>
      </c>
    </row>
    <row r="47" spans="1:4" x14ac:dyDescent="0.3">
      <c r="A47" s="15" t="s">
        <v>190</v>
      </c>
      <c r="B47" s="4">
        <v>54600</v>
      </c>
      <c r="C47" s="4">
        <v>1</v>
      </c>
      <c r="D47" s="5">
        <v>0.1</v>
      </c>
    </row>
    <row r="48" spans="1:4" x14ac:dyDescent="0.3">
      <c r="A48" s="15" t="s">
        <v>191</v>
      </c>
      <c r="B48" s="4">
        <v>54600</v>
      </c>
      <c r="C48" s="4">
        <v>1</v>
      </c>
      <c r="D48" s="5">
        <v>0.1</v>
      </c>
    </row>
    <row r="49" spans="1:6" x14ac:dyDescent="0.3">
      <c r="A49" s="15" t="s">
        <v>182</v>
      </c>
      <c r="B49" s="4">
        <v>106000</v>
      </c>
      <c r="C49" s="4">
        <v>1</v>
      </c>
      <c r="D49" s="5">
        <v>1.5</v>
      </c>
      <c r="F49" t="s">
        <v>194</v>
      </c>
    </row>
    <row r="50" spans="1:6" x14ac:dyDescent="0.3">
      <c r="A50" s="15" t="s">
        <v>183</v>
      </c>
      <c r="B50" s="4">
        <v>112000</v>
      </c>
      <c r="C50" s="4">
        <v>30</v>
      </c>
      <c r="D50" s="5">
        <v>4</v>
      </c>
    </row>
    <row r="51" spans="1:6" x14ac:dyDescent="0.3">
      <c r="A51" s="15" t="s">
        <v>184</v>
      </c>
      <c r="B51" s="6">
        <v>112000</v>
      </c>
      <c r="C51" s="6">
        <v>200</v>
      </c>
      <c r="D51" s="6">
        <v>4</v>
      </c>
    </row>
    <row r="52" spans="1:6" x14ac:dyDescent="0.3">
      <c r="A52" s="15" t="s">
        <v>185</v>
      </c>
      <c r="B52" s="4">
        <v>100000</v>
      </c>
      <c r="C52" s="4">
        <v>30</v>
      </c>
      <c r="D52" s="5">
        <v>4</v>
      </c>
    </row>
    <row r="53" spans="1:6" x14ac:dyDescent="0.3">
      <c r="A53" s="15" t="s">
        <v>186</v>
      </c>
      <c r="B53" s="4">
        <v>95300</v>
      </c>
      <c r="C53" s="4">
        <v>3</v>
      </c>
      <c r="D53" s="5">
        <v>2</v>
      </c>
    </row>
  </sheetData>
  <mergeCells count="2">
    <mergeCell ref="A1:A2"/>
    <mergeCell ref="B1:D1"/>
  </mergeCells>
  <pageMargins left="0.7" right="0.7" top="0.75" bottom="0.75" header="0.3" footer="0.3"/>
  <pageSetup orientation="portrait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2513A-272D-4CB0-AF79-3633852B82A6}">
  <sheetPr codeName="Sheet3"/>
  <dimension ref="A1:D20"/>
  <sheetViews>
    <sheetView workbookViewId="0">
      <selection activeCell="A36" sqref="A36"/>
    </sheetView>
  </sheetViews>
  <sheetFormatPr defaultRowHeight="14.4" x14ac:dyDescent="0.3"/>
  <cols>
    <col min="1" max="1" width="25.109375" customWidth="1"/>
    <col min="2" max="2" width="10.33203125" bestFit="1" customWidth="1"/>
    <col min="3" max="4" width="9" bestFit="1" customWidth="1"/>
  </cols>
  <sheetData>
    <row r="1" spans="1:4" ht="27" customHeight="1" x14ac:dyDescent="0.3">
      <c r="A1" s="160" t="s">
        <v>0</v>
      </c>
      <c r="B1" s="161" t="s">
        <v>27</v>
      </c>
      <c r="C1" s="161"/>
      <c r="D1" s="161"/>
    </row>
    <row r="2" spans="1:4" ht="15.6" x14ac:dyDescent="0.3">
      <c r="A2" s="160"/>
      <c r="B2" s="7" t="s">
        <v>138</v>
      </c>
      <c r="C2" s="7" t="s">
        <v>139</v>
      </c>
      <c r="D2" s="7" t="s">
        <v>140</v>
      </c>
    </row>
    <row r="3" spans="1:4" x14ac:dyDescent="0.3">
      <c r="A3" s="15" t="s">
        <v>193</v>
      </c>
      <c r="B3" s="4">
        <v>56100</v>
      </c>
      <c r="C3" s="5">
        <v>92</v>
      </c>
      <c r="D3" s="5">
        <v>3</v>
      </c>
    </row>
    <row r="4" spans="1:4" x14ac:dyDescent="0.3">
      <c r="A4" s="15" t="s">
        <v>1</v>
      </c>
      <c r="B4" s="4">
        <v>69300</v>
      </c>
      <c r="C4" s="4">
        <v>33</v>
      </c>
      <c r="D4" s="5">
        <v>3.2</v>
      </c>
    </row>
    <row r="5" spans="1:4" x14ac:dyDescent="0.3">
      <c r="A5" s="15" t="s">
        <v>202</v>
      </c>
      <c r="B5" s="4">
        <v>69300</v>
      </c>
      <c r="C5" s="4">
        <v>33</v>
      </c>
      <c r="D5" s="5">
        <v>3.2</v>
      </c>
    </row>
    <row r="6" spans="1:4" x14ac:dyDescent="0.3">
      <c r="A6" s="15" t="s">
        <v>201</v>
      </c>
      <c r="B6" s="4">
        <v>69300</v>
      </c>
      <c r="C6" s="4">
        <v>33</v>
      </c>
      <c r="D6" s="5">
        <v>3.2</v>
      </c>
    </row>
    <row r="7" spans="1:4" x14ac:dyDescent="0.3">
      <c r="A7" s="15" t="s">
        <v>203</v>
      </c>
      <c r="B7" s="4">
        <v>69300</v>
      </c>
      <c r="C7" s="4">
        <v>33</v>
      </c>
      <c r="D7" s="5">
        <v>3.2</v>
      </c>
    </row>
    <row r="8" spans="1:4" x14ac:dyDescent="0.3">
      <c r="A8" s="15" t="s">
        <v>25</v>
      </c>
      <c r="B8" s="4">
        <v>70000</v>
      </c>
      <c r="C8" s="17">
        <v>0.5</v>
      </c>
      <c r="D8" s="4">
        <v>2</v>
      </c>
    </row>
    <row r="9" spans="1:4" x14ac:dyDescent="0.3">
      <c r="A9" s="15" t="s">
        <v>26</v>
      </c>
      <c r="B9" s="4">
        <v>71500</v>
      </c>
      <c r="C9" s="4">
        <v>3</v>
      </c>
      <c r="D9" s="5">
        <v>0.6</v>
      </c>
    </row>
    <row r="10" spans="1:4" x14ac:dyDescent="0.3">
      <c r="A10" s="15" t="s">
        <v>152</v>
      </c>
      <c r="B10" s="4">
        <v>71500</v>
      </c>
      <c r="C10" s="4">
        <v>3</v>
      </c>
      <c r="D10" s="5">
        <v>0.6</v>
      </c>
    </row>
    <row r="11" spans="1:4" x14ac:dyDescent="0.3">
      <c r="A11" s="15" t="s">
        <v>153</v>
      </c>
      <c r="B11" s="4">
        <v>71900</v>
      </c>
      <c r="C11" s="4">
        <v>3</v>
      </c>
      <c r="D11" s="5">
        <v>0.6</v>
      </c>
    </row>
    <row r="12" spans="1:4" x14ac:dyDescent="0.3">
      <c r="A12" s="15" t="s">
        <v>155</v>
      </c>
      <c r="B12" s="4">
        <v>74100</v>
      </c>
      <c r="C12" s="3">
        <v>3.9</v>
      </c>
      <c r="D12" s="3">
        <v>3.9</v>
      </c>
    </row>
    <row r="13" spans="1:4" x14ac:dyDescent="0.3">
      <c r="A13" s="15" t="s">
        <v>156</v>
      </c>
      <c r="B13" s="4">
        <v>77400</v>
      </c>
      <c r="C13" s="8">
        <v>7</v>
      </c>
      <c r="D13" s="8">
        <v>2</v>
      </c>
    </row>
    <row r="14" spans="1:4" x14ac:dyDescent="0.3">
      <c r="A14" s="15" t="s">
        <v>3</v>
      </c>
      <c r="B14" s="4">
        <v>63100</v>
      </c>
      <c r="C14" s="8">
        <v>62</v>
      </c>
      <c r="D14" s="8">
        <v>0.2</v>
      </c>
    </row>
    <row r="15" spans="1:4" x14ac:dyDescent="0.3">
      <c r="A15" s="15" t="s">
        <v>160</v>
      </c>
      <c r="B15" s="4">
        <v>73300</v>
      </c>
      <c r="C15" s="4">
        <v>3</v>
      </c>
      <c r="D15" s="5">
        <v>0.6</v>
      </c>
    </row>
    <row r="16" spans="1:4" x14ac:dyDescent="0.3">
      <c r="A16" s="15" t="s">
        <v>163</v>
      </c>
      <c r="B16" s="4">
        <v>57600</v>
      </c>
      <c r="C16" s="4">
        <v>1</v>
      </c>
      <c r="D16" s="5">
        <v>0.1</v>
      </c>
    </row>
    <row r="17" spans="1:4" x14ac:dyDescent="0.3">
      <c r="A17" s="15" t="s">
        <v>164</v>
      </c>
      <c r="B17" s="4">
        <v>73300</v>
      </c>
      <c r="C17" s="4">
        <v>3</v>
      </c>
      <c r="D17" s="5">
        <v>0.6</v>
      </c>
    </row>
    <row r="18" spans="1:4" x14ac:dyDescent="0.3">
      <c r="A18" s="15" t="s">
        <v>165</v>
      </c>
      <c r="B18" s="4">
        <v>73300</v>
      </c>
      <c r="C18" s="4">
        <v>3</v>
      </c>
      <c r="D18" s="5">
        <v>0.6</v>
      </c>
    </row>
    <row r="19" spans="1:4" x14ac:dyDescent="0.3">
      <c r="A19" s="15" t="s">
        <v>169</v>
      </c>
      <c r="B19" s="4">
        <v>96100</v>
      </c>
      <c r="C19" s="8">
        <v>2</v>
      </c>
      <c r="D19" s="8">
        <v>1.5</v>
      </c>
    </row>
    <row r="20" spans="1:4" x14ac:dyDescent="0.3">
      <c r="A20" s="15" t="s">
        <v>179</v>
      </c>
      <c r="B20" s="4">
        <v>56100</v>
      </c>
      <c r="C20" s="8">
        <v>92</v>
      </c>
      <c r="D20" s="8">
        <v>3</v>
      </c>
    </row>
  </sheetData>
  <mergeCells count="2">
    <mergeCell ref="A1:A2"/>
    <mergeCell ref="B1:D1"/>
  </mergeCells>
  <pageMargins left="0.7" right="0.7" top="0.75" bottom="0.75" header="0.3" footer="0.3"/>
  <pageSetup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HOME</vt:lpstr>
      <vt:lpstr>Nilai Kalor_NCV</vt:lpstr>
      <vt:lpstr>HOME!Print_Area</vt:lpstr>
      <vt:lpstr>'UI Bahan Bakar'!Print_Area</vt:lpstr>
      <vt:lpstr>'UI Tenaga Listrik'!Print_Area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cp:lastPrinted>2022-06-08T07:14:53Z</cp:lastPrinted>
  <dcterms:created xsi:type="dcterms:W3CDTF">2022-05-27T02:46:14Z</dcterms:created>
  <dcterms:modified xsi:type="dcterms:W3CDTF">2022-08-02T01:42:41Z</dcterms:modified>
</cp:coreProperties>
</file>